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My Web Sites\eCalc\toolbox\"/>
    </mc:Choice>
  </mc:AlternateContent>
  <bookViews>
    <workbookView xWindow="0" yWindow="0" windowWidth="28800" windowHeight="12135" activeTab="1"/>
  </bookViews>
  <sheets>
    <sheet name="English" sheetId="1" r:id="rId1"/>
    <sheet name="Deutsch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D23" i="2"/>
  <c r="K22" i="2"/>
  <c r="E22" i="2"/>
  <c r="J23" i="1"/>
  <c r="D23" i="1"/>
  <c r="K22" i="1"/>
  <c r="E22" i="1"/>
  <c r="K53" i="1" l="1"/>
  <c r="E53" i="1"/>
  <c r="K40" i="1"/>
  <c r="E40" i="1"/>
  <c r="K31" i="1"/>
  <c r="E31" i="1"/>
  <c r="C111" i="2"/>
  <c r="C68" i="2"/>
  <c r="K53" i="2"/>
  <c r="E53" i="2"/>
  <c r="K40" i="2"/>
  <c r="E40" i="2"/>
  <c r="K31" i="2"/>
  <c r="E31" i="2"/>
  <c r="H34" i="2"/>
  <c r="K30" i="2"/>
  <c r="K29" i="2"/>
  <c r="E30" i="2"/>
  <c r="E29" i="2"/>
  <c r="K26" i="2"/>
  <c r="E27" i="2"/>
  <c r="E26" i="2"/>
  <c r="H3" i="2"/>
  <c r="H2" i="2"/>
  <c r="E111" i="2"/>
  <c r="K109" i="2"/>
  <c r="E109" i="2"/>
  <c r="K108" i="2"/>
  <c r="J108" i="2"/>
  <c r="E108" i="2"/>
  <c r="K107" i="2"/>
  <c r="E107" i="2"/>
  <c r="K106" i="2"/>
  <c r="J106" i="2"/>
  <c r="E106" i="2"/>
  <c r="K105" i="2"/>
  <c r="E105" i="2"/>
  <c r="K104" i="2"/>
  <c r="J104" i="2"/>
  <c r="E104" i="2"/>
  <c r="K103" i="2"/>
  <c r="E103" i="2"/>
  <c r="K102" i="2"/>
  <c r="J102" i="2"/>
  <c r="E102" i="2"/>
  <c r="K101" i="2"/>
  <c r="E101" i="2"/>
  <c r="K100" i="2"/>
  <c r="J100" i="2"/>
  <c r="E100" i="2"/>
  <c r="K99" i="2"/>
  <c r="E99" i="2"/>
  <c r="K97" i="2"/>
  <c r="J97" i="2"/>
  <c r="E97" i="2"/>
  <c r="D97" i="2"/>
  <c r="K96" i="2"/>
  <c r="E96" i="2"/>
  <c r="E95" i="2"/>
  <c r="E93" i="2"/>
  <c r="D93" i="2"/>
  <c r="J111" i="2" s="1"/>
  <c r="E92" i="2"/>
  <c r="J91" i="2"/>
  <c r="D91" i="2"/>
  <c r="E68" i="2"/>
  <c r="K66" i="2"/>
  <c r="E66" i="2"/>
  <c r="K65" i="2"/>
  <c r="E65" i="2"/>
  <c r="K64" i="2"/>
  <c r="E64" i="2"/>
  <c r="K63" i="2"/>
  <c r="E63" i="2"/>
  <c r="K62" i="2"/>
  <c r="E62" i="2"/>
  <c r="K61" i="2"/>
  <c r="E61" i="2"/>
  <c r="K60" i="2"/>
  <c r="E60" i="2"/>
  <c r="K59" i="2"/>
  <c r="E59" i="2"/>
  <c r="K58" i="2"/>
  <c r="E58" i="2"/>
  <c r="K57" i="2"/>
  <c r="E57" i="2"/>
  <c r="K56" i="2"/>
  <c r="E56" i="2"/>
  <c r="J55" i="2"/>
  <c r="D55" i="2"/>
  <c r="J53" i="2"/>
  <c r="D53" i="2"/>
  <c r="K52" i="2"/>
  <c r="E52" i="2"/>
  <c r="K50" i="2"/>
  <c r="J50" i="2"/>
  <c r="E50" i="2"/>
  <c r="D50" i="2"/>
  <c r="K49" i="2"/>
  <c r="E49" i="2"/>
  <c r="K48" i="2"/>
  <c r="E48" i="2"/>
  <c r="K46" i="2"/>
  <c r="J46" i="2"/>
  <c r="E46" i="2"/>
  <c r="D46" i="2"/>
  <c r="K45" i="2"/>
  <c r="E45" i="2"/>
  <c r="K44" i="2"/>
  <c r="E44" i="2"/>
  <c r="J43" i="2"/>
  <c r="D43" i="2"/>
  <c r="J40" i="2"/>
  <c r="D40" i="2"/>
  <c r="K38" i="2"/>
  <c r="K36" i="2"/>
  <c r="E36" i="2"/>
  <c r="K35" i="2"/>
  <c r="E35" i="2"/>
  <c r="J33" i="2"/>
  <c r="G33" i="2"/>
  <c r="D33" i="2"/>
  <c r="J31" i="2"/>
  <c r="D31" i="2"/>
  <c r="J25" i="2"/>
  <c r="D25" i="2"/>
  <c r="K23" i="2"/>
  <c r="J56" i="2"/>
  <c r="E23" i="2"/>
  <c r="D56" i="2"/>
  <c r="K20" i="2"/>
  <c r="E20" i="2"/>
  <c r="K19" i="2"/>
  <c r="E19" i="2"/>
  <c r="J18" i="2"/>
  <c r="G18" i="2"/>
  <c r="D18" i="2"/>
  <c r="D66" i="2" l="1"/>
  <c r="D64" i="2"/>
  <c r="D62" i="2"/>
  <c r="D60" i="2"/>
  <c r="D58" i="2"/>
  <c r="D63" i="2"/>
  <c r="D61" i="2"/>
  <c r="D57" i="2"/>
  <c r="D65" i="2"/>
  <c r="D59" i="2"/>
  <c r="J66" i="2"/>
  <c r="J62" i="2"/>
  <c r="J60" i="2"/>
  <c r="J58" i="2"/>
  <c r="J64" i="2"/>
  <c r="J65" i="2"/>
  <c r="J63" i="2"/>
  <c r="J61" i="2"/>
  <c r="J59" i="2"/>
  <c r="J57" i="2"/>
  <c r="D68" i="2"/>
  <c r="D99" i="2"/>
  <c r="J101" i="2"/>
  <c r="J103" i="2"/>
  <c r="J105" i="2"/>
  <c r="J107" i="2"/>
  <c r="J109" i="2"/>
  <c r="J68" i="2"/>
  <c r="J91" i="1"/>
  <c r="K99" i="1"/>
  <c r="D108" i="2" l="1"/>
  <c r="D106" i="2"/>
  <c r="D104" i="2"/>
  <c r="D102" i="2"/>
  <c r="D100" i="2"/>
  <c r="D109" i="2"/>
  <c r="D107" i="2"/>
  <c r="D105" i="2"/>
  <c r="D103" i="2"/>
  <c r="D101" i="2"/>
  <c r="D111" i="2"/>
  <c r="E111" i="1"/>
  <c r="K109" i="1"/>
  <c r="K108" i="1"/>
  <c r="K107" i="1"/>
  <c r="K106" i="1"/>
  <c r="K105" i="1"/>
  <c r="K104" i="1"/>
  <c r="K103" i="1"/>
  <c r="K102" i="1"/>
  <c r="K101" i="1"/>
  <c r="K100" i="1"/>
  <c r="E109" i="1"/>
  <c r="E108" i="1"/>
  <c r="E107" i="1"/>
  <c r="E106" i="1"/>
  <c r="E105" i="1"/>
  <c r="E104" i="1"/>
  <c r="E103" i="1"/>
  <c r="E102" i="1"/>
  <c r="E101" i="1"/>
  <c r="E100" i="1"/>
  <c r="E99" i="1"/>
  <c r="K97" i="1"/>
  <c r="E97" i="1"/>
  <c r="E96" i="1"/>
  <c r="E95" i="1"/>
  <c r="E93" i="1"/>
  <c r="E92" i="1"/>
  <c r="J31" i="1" l="1"/>
  <c r="D31" i="1"/>
  <c r="D40" i="1" l="1"/>
  <c r="D97" i="1" l="1"/>
  <c r="D91" i="1"/>
  <c r="J55" i="1"/>
  <c r="D55" i="1"/>
  <c r="J43" i="1"/>
  <c r="D43" i="1"/>
  <c r="J33" i="1"/>
  <c r="G33" i="1"/>
  <c r="D33" i="1"/>
  <c r="J25" i="1"/>
  <c r="D25" i="1"/>
  <c r="J18" i="1"/>
  <c r="G18" i="1"/>
  <c r="D18" i="1"/>
  <c r="K30" i="1"/>
  <c r="K29" i="1"/>
  <c r="E30" i="1"/>
  <c r="E29" i="1"/>
  <c r="C111" i="1"/>
  <c r="C68" i="1"/>
  <c r="E68" i="1"/>
  <c r="B91" i="1"/>
  <c r="J97" i="1"/>
  <c r="J109" i="1" s="1"/>
  <c r="K96" i="1"/>
  <c r="D93" i="1"/>
  <c r="D99" i="1" s="1"/>
  <c r="K66" i="1"/>
  <c r="E66" i="1"/>
  <c r="K65" i="1"/>
  <c r="E65" i="1"/>
  <c r="K64" i="1"/>
  <c r="E64" i="1"/>
  <c r="K63" i="1"/>
  <c r="E63" i="1"/>
  <c r="K62" i="1"/>
  <c r="E62" i="1"/>
  <c r="K61" i="1"/>
  <c r="E61" i="1"/>
  <c r="K60" i="1"/>
  <c r="E60" i="1"/>
  <c r="K59" i="1"/>
  <c r="E59" i="1"/>
  <c r="K58" i="1"/>
  <c r="E58" i="1"/>
  <c r="K57" i="1"/>
  <c r="K56" i="1"/>
  <c r="E57" i="1"/>
  <c r="E56" i="1"/>
  <c r="K50" i="1"/>
  <c r="E50" i="1"/>
  <c r="J56" i="1"/>
  <c r="D56" i="1"/>
  <c r="J50" i="1"/>
  <c r="D50" i="1"/>
  <c r="K49" i="1"/>
  <c r="E49" i="1"/>
  <c r="K48" i="1"/>
  <c r="E48" i="1"/>
  <c r="K52" i="1"/>
  <c r="E52" i="1"/>
  <c r="K46" i="1"/>
  <c r="E46" i="1"/>
  <c r="J46" i="1"/>
  <c r="D46" i="1"/>
  <c r="K45" i="1"/>
  <c r="E45" i="1"/>
  <c r="K44" i="1"/>
  <c r="E44" i="1"/>
  <c r="E27" i="1"/>
  <c r="K26" i="1"/>
  <c r="E26" i="1"/>
  <c r="K23" i="1"/>
  <c r="E23" i="1"/>
  <c r="K20" i="1"/>
  <c r="E20" i="1"/>
  <c r="J40" i="1"/>
  <c r="K38" i="1"/>
  <c r="K36" i="1"/>
  <c r="E36" i="1"/>
  <c r="K35" i="1"/>
  <c r="E35" i="1"/>
  <c r="H34" i="1"/>
  <c r="K19" i="1"/>
  <c r="E19" i="1"/>
  <c r="J111" i="1" l="1"/>
  <c r="J68" i="1"/>
  <c r="J103" i="1"/>
  <c r="D111" i="1"/>
  <c r="J102" i="1"/>
  <c r="D103" i="1"/>
  <c r="D102" i="1"/>
  <c r="D104" i="1"/>
  <c r="D109" i="1"/>
  <c r="D101" i="1"/>
  <c r="D108" i="1"/>
  <c r="D100" i="1"/>
  <c r="D107" i="1"/>
  <c r="D106" i="1"/>
  <c r="D105" i="1"/>
  <c r="J104" i="1"/>
  <c r="J105" i="1"/>
  <c r="J106" i="1"/>
  <c r="J107" i="1"/>
  <c r="J100" i="1"/>
  <c r="J108" i="1"/>
  <c r="J101" i="1"/>
  <c r="J53" i="1"/>
  <c r="J61" i="1" s="1"/>
  <c r="D53" i="1"/>
  <c r="D60" i="1" s="1"/>
  <c r="D65" i="1" l="1"/>
  <c r="D61" i="1"/>
  <c r="D64" i="1"/>
  <c r="D62" i="1"/>
  <c r="D58" i="1"/>
  <c r="D59" i="1"/>
  <c r="D57" i="1"/>
  <c r="D66" i="1"/>
  <c r="D63" i="1"/>
  <c r="J57" i="1"/>
  <c r="J59" i="1"/>
  <c r="J63" i="1"/>
  <c r="J65" i="1"/>
  <c r="J66" i="1"/>
  <c r="J58" i="1"/>
  <c r="J64" i="1"/>
  <c r="J60" i="1"/>
  <c r="J62" i="1"/>
  <c r="D68" i="1"/>
</calcChain>
</file>

<file path=xl/comments1.xml><?xml version="1.0" encoding="utf-8"?>
<comments xmlns="http://schemas.openxmlformats.org/spreadsheetml/2006/main">
  <authors>
    <author>Markus Müller</author>
  </authors>
  <commentList>
    <comment ref="D22" authorId="0" shapeId="0">
      <text>
        <r>
          <rPr>
            <sz val="9"/>
            <color indexed="81"/>
            <rFont val="Segoe UI"/>
            <family val="2"/>
          </rPr>
          <t>For leasing with car return use 100%!</t>
        </r>
      </text>
    </comment>
    <comment ref="J22" authorId="0" shapeId="0">
      <text>
        <r>
          <rPr>
            <sz val="9"/>
            <color indexed="81"/>
            <rFont val="Segoe UI"/>
            <family val="2"/>
          </rPr>
          <t>For leasing with car return use 100%!</t>
        </r>
      </text>
    </comment>
    <comment ref="D35" authorId="0" shapeId="0">
      <text>
        <r>
          <rPr>
            <sz val="9"/>
            <color indexed="81"/>
            <rFont val="Segoe UI"/>
            <family val="2"/>
          </rPr>
          <t>When charging for different rates (free, fast charge, at home) use a mixed kWh price according your personal situation.</t>
        </r>
      </text>
    </comment>
    <comment ref="D92" authorId="0" shapeId="0">
      <text>
        <r>
          <rPr>
            <sz val="9"/>
            <color indexed="81"/>
            <rFont val="Segoe UI"/>
            <charset val="1"/>
          </rPr>
          <t>Production Emmisions are somewhere between 40kg/kwh (40g/Wh) and 150kg/kWh (150g/Wh) battery capacity
https://res.mdpi.com/sustainability/sustainability-09-00504/article_deploy/sustainability-09-00504.pdf?filename=&amp;attachment=1</t>
        </r>
      </text>
    </comment>
    <comment ref="D95" authorId="0" shapeId="0">
      <text>
        <r>
          <rPr>
            <sz val="9"/>
            <color indexed="81"/>
            <rFont val="Segoe UI"/>
            <family val="2"/>
          </rPr>
          <t xml:space="preserve">Use your local electricity production data, as they vary a lot between regions (10…900g/kWh). Check out
https://www.electricitymap.org
</t>
        </r>
      </text>
    </comment>
    <comment ref="J95" authorId="0" shapeId="0">
      <text>
        <r>
          <rPr>
            <sz val="9"/>
            <color indexed="81"/>
            <rFont val="Segoe UI"/>
            <family val="2"/>
          </rPr>
          <t>Well-to-Tank Emmision depends on Oil Quality (e.g. Crude or Sand) and fuel type
Gasoline at least 17%+
Diesel at least 19%+
Car Gas at least 12%+
https://www.forschungsinformationssystem.de/servlet/is/332825/</t>
        </r>
      </text>
    </comment>
    <comment ref="J96" authorId="0" shapeId="0">
      <text>
        <r>
          <rPr>
            <sz val="9"/>
            <color indexed="81"/>
            <rFont val="Segoe UI"/>
            <family val="2"/>
          </rPr>
          <t>1 Liter Gasoline burns to  2'330g CO2
1 Liter Diesel burns to  2'640g CO2
1 Liter Car Gas burns to  1'640g CO2</t>
        </r>
      </text>
    </comment>
  </commentList>
</comments>
</file>

<file path=xl/comments2.xml><?xml version="1.0" encoding="utf-8"?>
<comments xmlns="http://schemas.openxmlformats.org/spreadsheetml/2006/main">
  <authors>
    <author>Markus Müller</author>
  </authors>
  <commentList>
    <comment ref="D22" authorId="0" shapeId="0">
      <text>
        <r>
          <rPr>
            <sz val="9"/>
            <color indexed="81"/>
            <rFont val="Segoe UI"/>
            <family val="2"/>
          </rPr>
          <t>für Leasing 100%!</t>
        </r>
      </text>
    </comment>
    <comment ref="J22" authorId="0" shapeId="0">
      <text>
        <r>
          <rPr>
            <sz val="9"/>
            <color indexed="81"/>
            <rFont val="Segoe UI"/>
            <family val="2"/>
          </rPr>
          <t>für Leasing 100%!</t>
        </r>
      </text>
    </comment>
    <comment ref="D35" authorId="0" shapeId="0">
      <text>
        <r>
          <rPr>
            <sz val="9"/>
            <color indexed="81"/>
            <rFont val="Segoe UI"/>
            <family val="2"/>
          </rPr>
          <t xml:space="preserve">Bei unterschiedlichen Ladekosten (gratis, zuhause, Schnellader) verwenden Sie den Ihren Gewohnheiten Entsprechender Mischpreis. </t>
        </r>
      </text>
    </comment>
    <comment ref="D92" authorId="0" shapeId="0">
      <text>
        <r>
          <rPr>
            <sz val="9"/>
            <color indexed="81"/>
            <rFont val="Segoe UI"/>
            <charset val="1"/>
          </rPr>
          <t>Die Prodiktionsemissionen schwanken stark unter den Batterieherstellen und liegen zwischen 40kg/kwh (40g/Wh) und 150kg/kWh (150g/Wh) 
https://res.mdpi.com/sustainability/sustainability-09-00504/article_deploy/sustainability-09-00504.pdf?filename=&amp;attachment=1</t>
        </r>
      </text>
    </comment>
    <comment ref="D95" authorId="0" shapeId="0">
      <text>
        <r>
          <rPr>
            <sz val="9"/>
            <color indexed="81"/>
            <rFont val="Segoe UI"/>
            <family val="2"/>
          </rPr>
          <t xml:space="preserve">Regionale Schwankungen sind oft sehr gross (10…900g/kWh) Enthenmen Sie Ihren Wert des Strommixes von
https://www.electricitymap.org
</t>
        </r>
      </text>
    </comment>
    <comment ref="J95" authorId="0" shapeId="0">
      <text>
        <r>
          <rPr>
            <sz val="9"/>
            <color indexed="81"/>
            <rFont val="Segoe UI"/>
            <family val="2"/>
          </rPr>
          <t>Emissionen zwischen dem Bohrloch und der Zapfsäule hangen sehr start won der Oel Qualität und Gewinnungsverfahren ab (e.g. Crude oder Sand, Fracking) und betragen mindestens
Gasoline at least 17%+
Diesel at least 19%+
Car Gas at least 12%+
https://www.forschungsinformationssystem.de/servlet/is/332825/</t>
        </r>
      </text>
    </comment>
    <comment ref="J96" authorId="0" shapeId="0">
      <text>
        <r>
          <rPr>
            <sz val="9"/>
            <color indexed="81"/>
            <rFont val="Segoe UI"/>
            <family val="2"/>
          </rPr>
          <t>1 Liter Benzin verbrennt zu 2'330g CO2
1 Liter Diesel  verbrennt zu  2'640g CO2
1 Liter Auto Gas verbrennt zu 1'640g CO2</t>
        </r>
      </text>
    </comment>
  </commentList>
</comments>
</file>

<file path=xl/sharedStrings.xml><?xml version="1.0" encoding="utf-8"?>
<sst xmlns="http://schemas.openxmlformats.org/spreadsheetml/2006/main" count="195" uniqueCount="140">
  <si>
    <t>© by eCalc.ch</t>
  </si>
  <si>
    <t>Type of Car</t>
  </si>
  <si>
    <t>Electric Vehicle</t>
  </si>
  <si>
    <t>Combustion Engine</t>
  </si>
  <si>
    <t>l</t>
  </si>
  <si>
    <t>Distance</t>
  </si>
  <si>
    <t>Distance:</t>
  </si>
  <si>
    <t>Volume:</t>
  </si>
  <si>
    <t>Currency:</t>
  </si>
  <si>
    <t>km</t>
  </si>
  <si>
    <t>€</t>
  </si>
  <si>
    <t>Brand and Model</t>
  </si>
  <si>
    <t>Both</t>
  </si>
  <si>
    <t>Life Time</t>
  </si>
  <si>
    <t>Years</t>
  </si>
  <si>
    <t>Energy &amp; Fuel</t>
  </si>
  <si>
    <t>Energy / Fuel Cost</t>
  </si>
  <si>
    <t>Energy / Fuel Consumption</t>
  </si>
  <si>
    <t>%</t>
  </si>
  <si>
    <t>AdBlue / Aditive Cost</t>
  </si>
  <si>
    <t>AdBlue / Aditive Consumption</t>
  </si>
  <si>
    <t>Service &amp; Maintenance</t>
  </si>
  <si>
    <t>Captial</t>
  </si>
  <si>
    <t>Brake Replacement Rate</t>
  </si>
  <si>
    <t>Brake Replacement Cost</t>
  </si>
  <si>
    <t>Brake Cost per Year</t>
  </si>
  <si>
    <t>Tire Replacement Rate</t>
  </si>
  <si>
    <t>Tire Replacement Cost</t>
  </si>
  <si>
    <t>Tire Cost per Year</t>
  </si>
  <si>
    <t>Depriation Rate</t>
  </si>
  <si>
    <t>Total Cost of Ownership</t>
  </si>
  <si>
    <t>At Purchse</t>
  </si>
  <si>
    <t>After Year</t>
  </si>
  <si>
    <t>Battery Capacity</t>
  </si>
  <si>
    <t>kWh</t>
  </si>
  <si>
    <t>Battery Production</t>
  </si>
  <si>
    <t>g</t>
  </si>
  <si>
    <t>Mass:</t>
  </si>
  <si>
    <t>Total Battery</t>
  </si>
  <si>
    <t>Energy Production &amp; Transport</t>
  </si>
  <si>
    <t>Total Carbon Dioxid</t>
  </si>
  <si>
    <t>Carbon Dioxid Reduction after</t>
  </si>
  <si>
    <t>Cost Advantage after</t>
  </si>
  <si>
    <t>Insentives</t>
  </si>
  <si>
    <t>Insurance</t>
  </si>
  <si>
    <t>Tax</t>
  </si>
  <si>
    <t>Financing &amp; Insurance</t>
  </si>
  <si>
    <t>Total Energy Cost per Year</t>
  </si>
  <si>
    <t>Total Finance &amp; Insurance</t>
  </si>
  <si>
    <t>Residual Value</t>
  </si>
  <si>
    <t>Units</t>
  </si>
  <si>
    <r>
      <t>This spread sheet calculated the Total Cost of Ownership and compairs the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Footprint.</t>
    </r>
  </si>
  <si>
    <r>
      <t>Be surprised about the cost savings and the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reduction</t>
    </r>
  </si>
  <si>
    <r>
      <t>Carbon Dioxid Footprint</t>
    </r>
    <r>
      <rPr>
        <sz val="16"/>
        <color theme="1"/>
        <rFont val="Calibri"/>
        <family val="2"/>
        <scheme val="minor"/>
      </rPr>
      <t xml:space="preserve">  - </t>
    </r>
    <r>
      <rPr>
        <i/>
        <sz val="16"/>
        <color theme="1"/>
        <rFont val="Calibri"/>
        <family val="2"/>
        <scheme val="minor"/>
      </rPr>
      <t>#r</t>
    </r>
    <r>
      <rPr>
        <b/>
        <i/>
        <sz val="16"/>
        <color rgb="FFFF0000"/>
        <rFont val="Calibri"/>
        <family val="2"/>
        <scheme val="minor"/>
      </rPr>
      <t>EV</t>
    </r>
    <r>
      <rPr>
        <i/>
        <sz val="16"/>
        <color theme="1"/>
        <rFont val="Calibri"/>
        <family val="2"/>
        <scheme val="minor"/>
      </rPr>
      <t>olution</t>
    </r>
  </si>
  <si>
    <r>
      <t xml:space="preserve">Total Coast of Ownership - </t>
    </r>
    <r>
      <rPr>
        <b/>
        <i/>
        <sz val="16"/>
        <color rgb="FFFF0000"/>
        <rFont val="Calibri"/>
        <family val="2"/>
        <scheme val="minor"/>
      </rPr>
      <t>ev</t>
    </r>
    <r>
      <rPr>
        <i/>
        <sz val="16"/>
        <color theme="1"/>
        <rFont val="Calibri"/>
        <family val="2"/>
        <scheme val="minor"/>
      </rPr>
      <t>Calc</t>
    </r>
  </si>
  <si>
    <t>1. Change the Units (right) according your needs.</t>
  </si>
  <si>
    <t>2. Fill in all white fields according your cars to compair.</t>
  </si>
  <si>
    <t>Other Service &amp; Maintenance Cost</t>
  </si>
  <si>
    <t>Local Emission</t>
  </si>
  <si>
    <t>Charging Loss</t>
  </si>
  <si>
    <t xml:space="preserve">Important: for a leased care use 100% depriation rate. </t>
  </si>
  <si>
    <t>www.eCalc.ch - the most reliable electric drive simulation tools</t>
  </si>
  <si>
    <t>Hyundai Kona 1.6CRDI</t>
  </si>
  <si>
    <t>Hyunday Kona EV</t>
  </si>
  <si>
    <t>* increased production emission due higher engine complexity of combustion car is NOT considered.</t>
  </si>
  <si>
    <t>years</t>
  </si>
  <si>
    <t xml:space="preserve">          Break Even after:</t>
  </si>
  <si>
    <t xml:space="preserve">           Break Even after:</t>
  </si>
  <si>
    <t>Lease Rate</t>
  </si>
  <si>
    <t>Battery Lease Rate</t>
  </si>
  <si>
    <t>Price or Lease Down Payment</t>
  </si>
  <si>
    <t>Deutsch</t>
  </si>
  <si>
    <t>English</t>
  </si>
  <si>
    <r>
      <t xml:space="preserve">Gesamte Betriebskosten - </t>
    </r>
    <r>
      <rPr>
        <b/>
        <i/>
        <sz val="16"/>
        <color rgb="FFFF0000"/>
        <rFont val="Calibri"/>
        <family val="2"/>
        <scheme val="minor"/>
      </rPr>
      <t>ev</t>
    </r>
    <r>
      <rPr>
        <i/>
        <sz val="16"/>
        <color theme="1"/>
        <rFont val="Calibri"/>
        <family val="2"/>
        <scheme val="minor"/>
      </rPr>
      <t>Calc</t>
    </r>
  </si>
  <si>
    <r>
      <t>CO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 xml:space="preserve"> - Bilanz</t>
    </r>
    <r>
      <rPr>
        <sz val="16"/>
        <color theme="1"/>
        <rFont val="Calibri"/>
        <family val="2"/>
        <scheme val="minor"/>
      </rPr>
      <t xml:space="preserve">  - </t>
    </r>
    <r>
      <rPr>
        <i/>
        <sz val="16"/>
        <color theme="1"/>
        <rFont val="Calibri"/>
        <family val="2"/>
        <scheme val="minor"/>
      </rPr>
      <t>#r</t>
    </r>
    <r>
      <rPr>
        <b/>
        <i/>
        <sz val="16"/>
        <color rgb="FFFF0000"/>
        <rFont val="Calibri"/>
        <family val="2"/>
        <scheme val="minor"/>
      </rPr>
      <t>EV</t>
    </r>
    <r>
      <rPr>
        <i/>
        <sz val="16"/>
        <color theme="1"/>
        <rFont val="Calibri"/>
        <family val="2"/>
        <scheme val="minor"/>
      </rPr>
      <t>olution</t>
    </r>
  </si>
  <si>
    <t>Gesamte Betriebskosten</t>
  </si>
  <si>
    <r>
      <t>Diese Kalkulation gibr Auskunft über die Gesamten Betriebskosten und die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-Bilanz zweier Fahrzeuge</t>
    </r>
  </si>
  <si>
    <t>Exemplarischer Vergleich: Hyondai Kona EV gegen Kona 1.6 CRDi</t>
  </si>
  <si>
    <t>Example: Hyunday Kona EV vs. Kona Diesel</t>
  </si>
  <si>
    <t>1. Stellen Sie rechts die Einheiten für Ihr Land korrekt ein.</t>
  </si>
  <si>
    <t>2. Erfassen Sie die weissen Felder entsprechend Ihren Fahrzeugen und Gegebenheiten</t>
  </si>
  <si>
    <t>Wichtig: Bei Vergleichen auf Leasing-Basis die Abschreibung auf 100% einstellen</t>
  </si>
  <si>
    <r>
      <t>Staunen Sie nun über das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Einsparungspotential</t>
    </r>
  </si>
  <si>
    <t>Fahrzeug</t>
  </si>
  <si>
    <t>Elektro Auto</t>
  </si>
  <si>
    <t>Verbrenner Auto</t>
  </si>
  <si>
    <t>Marke und Modell</t>
  </si>
  <si>
    <t>Beide</t>
  </si>
  <si>
    <t>Einheiten</t>
  </si>
  <si>
    <t>Währung:</t>
  </si>
  <si>
    <t>Volumen:</t>
  </si>
  <si>
    <t>Distanz:</t>
  </si>
  <si>
    <t>Masse:</t>
  </si>
  <si>
    <t>Batterie Kapazität</t>
  </si>
  <si>
    <t>Kapital</t>
  </si>
  <si>
    <t>Preis oder Leasing Anzahlung</t>
  </si>
  <si>
    <t>Staatliche Förderungsgelder</t>
  </si>
  <si>
    <t>Betriebszeit</t>
  </si>
  <si>
    <t>Abschreibung</t>
  </si>
  <si>
    <t>Jahre</t>
  </si>
  <si>
    <t>Wiederverkauswert</t>
  </si>
  <si>
    <t>Leasing Rate</t>
  </si>
  <si>
    <t>Batterie Leasing Rate</t>
  </si>
  <si>
    <t>Versicherung</t>
  </si>
  <si>
    <t>Staatliche Abgaben</t>
  </si>
  <si>
    <t>Energie &amp; Betriebsstoffe</t>
  </si>
  <si>
    <t>Finanzierung &amp;Versicherung</t>
  </si>
  <si>
    <t>Fahrleistung</t>
  </si>
  <si>
    <t>Energie / Kraftstoff</t>
  </si>
  <si>
    <t>Energie / Kraftstoff Verbrauch</t>
  </si>
  <si>
    <t>Ladeverlust</t>
  </si>
  <si>
    <t>AdBlue / Zusatzstoff-Kosten</t>
  </si>
  <si>
    <t>AdBlue / zusatzstoff Verbrauch</t>
  </si>
  <si>
    <t>Total Finanzierung &amp; Versicherung</t>
  </si>
  <si>
    <t>Total Energie &amp; Betriebsstoffe</t>
  </si>
  <si>
    <t>Unterhalt &amp; Repartur</t>
  </si>
  <si>
    <t>Bremen ersetzten nach</t>
  </si>
  <si>
    <t>Kosten Bremsenersatz</t>
  </si>
  <si>
    <t>jährliche Kosten für Bremsen</t>
  </si>
  <si>
    <t>jährliche Kosten für Reifen</t>
  </si>
  <si>
    <t>Reifen ersetzten nach</t>
  </si>
  <si>
    <t>Kosten Reifenersatz</t>
  </si>
  <si>
    <t>andere Unterhalts- &amp; Reparatur-Kosten</t>
  </si>
  <si>
    <t>Total Unterhalt &amp; Reparatur</t>
  </si>
  <si>
    <t>beim Kauf</t>
  </si>
  <si>
    <t>nach Jahr</t>
  </si>
  <si>
    <t>Kostenvorteil nach</t>
  </si>
  <si>
    <t xml:space="preserve">          Kostenvorteil ab:</t>
  </si>
  <si>
    <r>
      <t>CO</t>
    </r>
    <r>
      <rPr>
        <b/>
        <vertAlign val="subscript"/>
        <sz val="14"/>
        <color theme="1"/>
        <rFont val="Calibri"/>
        <family val="2"/>
        <scheme val="minor"/>
      </rPr>
      <t>2-</t>
    </r>
    <r>
      <rPr>
        <b/>
        <sz val="14"/>
        <color theme="1"/>
        <rFont val="Calibri"/>
        <family val="2"/>
        <scheme val="minor"/>
      </rPr>
      <t>Bilanz</t>
    </r>
  </si>
  <si>
    <t>Batterie-Produktion</t>
  </si>
  <si>
    <t>Total Batterie</t>
  </si>
  <si>
    <t>Energie Produktion &amp; Transport</t>
  </si>
  <si>
    <t>Lokaler Ausstoss</t>
  </si>
  <si>
    <r>
      <t>Total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</si>
  <si>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* erhöhter Ausstoss zur Fertigung eines wesentlich komplexeren Verbrenner Motors ist nicht berücksichtigt.</t>
  </si>
  <si>
    <r>
      <t>CO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-Reduktion nach</t>
    </r>
  </si>
  <si>
    <r>
      <t xml:space="preserve">           CO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-Vorteil nach:</t>
    </r>
  </si>
  <si>
    <t>Jahren</t>
  </si>
  <si>
    <t>Total Service &amp; Maintenance</t>
  </si>
  <si>
    <t>V 1.10 -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</si>
</sst>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Protection="1"/>
    <xf numFmtId="4" fontId="0" fillId="0" borderId="0" xfId="0" applyNumberFormat="1" applyProtection="1"/>
    <xf numFmtId="0" fontId="16" fillId="0" borderId="0" xfId="1" applyAlignment="1" applyProtection="1">
      <alignment horizontal="right"/>
    </xf>
    <xf numFmtId="0" fontId="3" fillId="0" borderId="0" xfId="0" applyFont="1" applyProtection="1"/>
    <xf numFmtId="0" fontId="12" fillId="0" borderId="0" xfId="0" applyFont="1" applyProtection="1"/>
    <xf numFmtId="4" fontId="1" fillId="3" borderId="0" xfId="0" applyNumberFormat="1" applyFont="1" applyFill="1" applyProtection="1"/>
    <xf numFmtId="0" fontId="0" fillId="3" borderId="0" xfId="0" applyFill="1" applyProtection="1"/>
    <xf numFmtId="4" fontId="0" fillId="2" borderId="0" xfId="0" applyNumberFormat="1" applyFill="1" applyProtection="1"/>
    <xf numFmtId="0" fontId="0" fillId="2" borderId="0" xfId="0" applyFill="1" applyProtection="1"/>
    <xf numFmtId="0" fontId="1" fillId="0" borderId="0" xfId="0" applyFont="1" applyProtection="1"/>
    <xf numFmtId="0" fontId="7" fillId="3" borderId="0" xfId="0" applyFont="1" applyFill="1" applyProtection="1"/>
    <xf numFmtId="0" fontId="8" fillId="3" borderId="0" xfId="0" applyFont="1" applyFill="1" applyProtection="1"/>
    <xf numFmtId="4" fontId="8" fillId="3" borderId="0" xfId="0" applyNumberFormat="1" applyFont="1" applyFill="1" applyProtection="1"/>
    <xf numFmtId="0" fontId="7" fillId="0" borderId="0" xfId="0" applyFont="1" applyProtection="1"/>
    <xf numFmtId="4" fontId="0" fillId="0" borderId="0" xfId="0" applyNumberFormat="1" applyFill="1" applyProtection="1"/>
    <xf numFmtId="0" fontId="8" fillId="2" borderId="0" xfId="0" applyFont="1" applyFill="1" applyProtection="1"/>
    <xf numFmtId="4" fontId="8" fillId="2" borderId="0" xfId="0" applyNumberFormat="1" applyFont="1" applyFill="1" applyProtection="1"/>
    <xf numFmtId="0" fontId="8" fillId="0" borderId="0" xfId="0" applyFont="1" applyProtection="1"/>
    <xf numFmtId="4" fontId="0" fillId="2" borderId="0" xfId="0" applyNumberFormat="1" applyFill="1" applyBorder="1" applyProtection="1"/>
    <xf numFmtId="0" fontId="1" fillId="2" borderId="0" xfId="0" applyFont="1" applyFill="1" applyProtection="1"/>
    <xf numFmtId="4" fontId="1" fillId="2" borderId="0" xfId="0" applyNumberFormat="1" applyFont="1" applyFill="1" applyProtection="1"/>
    <xf numFmtId="0" fontId="0" fillId="2" borderId="1" xfId="0" applyFill="1" applyBorder="1" applyAlignment="1" applyProtection="1">
      <alignment horizontal="right"/>
    </xf>
    <xf numFmtId="0" fontId="0" fillId="2" borderId="1" xfId="0" applyFill="1" applyBorder="1" applyProtection="1"/>
    <xf numFmtId="4" fontId="0" fillId="2" borderId="1" xfId="0" applyNumberFormat="1" applyFill="1" applyBorder="1" applyProtection="1"/>
    <xf numFmtId="0" fontId="0" fillId="2" borderId="2" xfId="0" applyFill="1" applyBorder="1" applyAlignment="1" applyProtection="1">
      <alignment horizontal="right"/>
    </xf>
    <xf numFmtId="0" fontId="0" fillId="2" borderId="2" xfId="0" applyFill="1" applyBorder="1" applyProtection="1"/>
    <xf numFmtId="4" fontId="0" fillId="2" borderId="2" xfId="0" applyNumberFormat="1" applyFill="1" applyBorder="1" applyProtection="1"/>
    <xf numFmtId="0" fontId="0" fillId="2" borderId="3" xfId="0" applyFill="1" applyBorder="1" applyAlignment="1" applyProtection="1">
      <alignment horizontal="right"/>
    </xf>
    <xf numFmtId="0" fontId="0" fillId="2" borderId="3" xfId="0" applyFill="1" applyBorder="1" applyProtection="1"/>
    <xf numFmtId="4" fontId="0" fillId="2" borderId="3" xfId="0" applyNumberFormat="1" applyFill="1" applyBorder="1" applyProtection="1"/>
    <xf numFmtId="0" fontId="7" fillId="2" borderId="0" xfId="0" applyFont="1" applyFill="1" applyProtection="1"/>
    <xf numFmtId="0" fontId="7" fillId="2" borderId="0" xfId="0" applyFont="1" applyFill="1" applyAlignment="1" applyProtection="1">
      <alignment horizontal="right"/>
    </xf>
    <xf numFmtId="4" fontId="7" fillId="2" borderId="0" xfId="0" applyNumberFormat="1" applyFont="1" applyFill="1" applyProtection="1"/>
    <xf numFmtId="164" fontId="8" fillId="2" borderId="0" xfId="0" applyNumberFormat="1" applyFont="1" applyFill="1" applyProtection="1"/>
    <xf numFmtId="0" fontId="0" fillId="0" borderId="0" xfId="0" applyFill="1" applyProtection="1"/>
    <xf numFmtId="4" fontId="0" fillId="4" borderId="1" xfId="0" applyNumberFormat="1" applyFill="1" applyBorder="1" applyProtection="1"/>
    <xf numFmtId="4" fontId="0" fillId="4" borderId="2" xfId="0" applyNumberFormat="1" applyFill="1" applyBorder="1" applyProtection="1"/>
    <xf numFmtId="0" fontId="15" fillId="2" borderId="0" xfId="0" applyFont="1" applyFill="1" applyProtection="1"/>
    <xf numFmtId="4" fontId="15" fillId="2" borderId="0" xfId="0" applyNumberFormat="1" applyFont="1" applyFill="1" applyProtection="1"/>
    <xf numFmtId="0" fontId="15" fillId="0" borderId="0" xfId="0" applyFont="1" applyProtection="1"/>
    <xf numFmtId="0" fontId="14" fillId="0" borderId="0" xfId="0" applyFont="1" applyAlignment="1" applyProtection="1">
      <alignment horizontal="center"/>
    </xf>
    <xf numFmtId="0" fontId="6" fillId="0" borderId="5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6" xfId="0" applyFill="1" applyBorder="1" applyProtection="1">
      <protection locked="0"/>
    </xf>
    <xf numFmtId="4" fontId="0" fillId="0" borderId="0" xfId="0" applyNumberFormat="1" applyFill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5" borderId="4" xfId="0" applyNumberFormat="1" applyFill="1" applyBorder="1" applyProtection="1">
      <protection locked="0"/>
    </xf>
  </cellXfs>
  <cellStyles count="2">
    <cellStyle name="Link" xfId="1" builtinId="8"/>
    <cellStyle name="Standard" xfId="0" builtinId="0"/>
  </cellStyles>
  <dxfs count="50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theme="9" tint="-0.499984740745262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theme="9" tint="-0.499984740745262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Total Cost of Ownership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English!$D$14</c:f>
              <c:strCache>
                <c:ptCount val="1"/>
                <c:pt idx="0">
                  <c:v>Hyunday Kona EV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English!$C$56:$C$66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English!$D$56:$D$66</c:f>
              <c:numCache>
                <c:formatCode>#,##0.00</c:formatCode>
                <c:ptCount val="11"/>
                <c:pt idx="0">
                  <c:v>29589.354629119996</c:v>
                </c:pt>
                <c:pt idx="1">
                  <c:v>34172.687962453332</c:v>
                </c:pt>
                <c:pt idx="2">
                  <c:v>38756.021295786661</c:v>
                </c:pt>
                <c:pt idx="3">
                  <c:v>43339.354629119996</c:v>
                </c:pt>
                <c:pt idx="4">
                  <c:v>47922.687962453332</c:v>
                </c:pt>
                <c:pt idx="5">
                  <c:v>52506.021295786668</c:v>
                </c:pt>
                <c:pt idx="6">
                  <c:v>57089.354629120004</c:v>
                </c:pt>
                <c:pt idx="7">
                  <c:v>61672.687962453332</c:v>
                </c:pt>
                <c:pt idx="8">
                  <c:v>66256.021295786661</c:v>
                </c:pt>
                <c:pt idx="9">
                  <c:v>70839.354629120004</c:v>
                </c:pt>
                <c:pt idx="10">
                  <c:v>75422.687962453347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English!$J$14</c:f>
              <c:strCache>
                <c:ptCount val="1"/>
                <c:pt idx="0">
                  <c:v>Hyundai Kona 1.6CRDI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English!$C$56:$C$66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English!$J$56:$J$66</c:f>
              <c:numCache>
                <c:formatCode>#,##0.00</c:formatCode>
                <c:ptCount val="11"/>
                <c:pt idx="0">
                  <c:v>22049.759459199999</c:v>
                </c:pt>
                <c:pt idx="1">
                  <c:v>30044.759459199999</c:v>
                </c:pt>
                <c:pt idx="2">
                  <c:v>38039.759459199995</c:v>
                </c:pt>
                <c:pt idx="3">
                  <c:v>46034.759459199995</c:v>
                </c:pt>
                <c:pt idx="4">
                  <c:v>54029.759459199995</c:v>
                </c:pt>
                <c:pt idx="5">
                  <c:v>62024.759459199995</c:v>
                </c:pt>
                <c:pt idx="6">
                  <c:v>70019.759459199995</c:v>
                </c:pt>
                <c:pt idx="7">
                  <c:v>78014.759459199995</c:v>
                </c:pt>
                <c:pt idx="8">
                  <c:v>86009.759459199995</c:v>
                </c:pt>
                <c:pt idx="9">
                  <c:v>94004.759459199995</c:v>
                </c:pt>
                <c:pt idx="10">
                  <c:v>101999.7594592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323024"/>
        <c:axId val="379317144"/>
      </c:scatterChart>
      <c:valAx>
        <c:axId val="379323024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317144"/>
        <c:crosses val="autoZero"/>
        <c:crossBetween val="midCat"/>
      </c:valAx>
      <c:valAx>
        <c:axId val="37931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323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Total CO</a:t>
            </a:r>
            <a:r>
              <a:rPr lang="de-CH" baseline="-25000"/>
              <a:t>2</a:t>
            </a:r>
            <a:r>
              <a:rPr lang="de-CH" baseline="0"/>
              <a:t> Emission </a:t>
            </a:r>
            <a:endParaRPr lang="de-CH" baseline="-25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English!$D$14</c:f>
              <c:strCache>
                <c:ptCount val="1"/>
                <c:pt idx="0">
                  <c:v>Hyunday Kona EV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English!$C$99:$C$109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English!$D$99:$D$109</c:f>
              <c:numCache>
                <c:formatCode>#,##0.00</c:formatCode>
                <c:ptCount val="11"/>
                <c:pt idx="0">
                  <c:v>6700000</c:v>
                </c:pt>
                <c:pt idx="1">
                  <c:v>8792500</c:v>
                </c:pt>
                <c:pt idx="2">
                  <c:v>10885000</c:v>
                </c:pt>
                <c:pt idx="3">
                  <c:v>12977500</c:v>
                </c:pt>
                <c:pt idx="4">
                  <c:v>15070000</c:v>
                </c:pt>
                <c:pt idx="5">
                  <c:v>17162500</c:v>
                </c:pt>
                <c:pt idx="6">
                  <c:v>19255000</c:v>
                </c:pt>
                <c:pt idx="7">
                  <c:v>21347500</c:v>
                </c:pt>
                <c:pt idx="8">
                  <c:v>23440000</c:v>
                </c:pt>
                <c:pt idx="9">
                  <c:v>25532500</c:v>
                </c:pt>
                <c:pt idx="10">
                  <c:v>27625000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English!$J$14</c:f>
              <c:strCache>
                <c:ptCount val="1"/>
                <c:pt idx="0">
                  <c:v>Hyundai Kona 1.6CRDI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English!$C$99:$C$109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English!$J$99:$J$109</c:f>
              <c:numCache>
                <c:formatCode>#,##0.00</c:formatCode>
                <c:ptCount val="11"/>
                <c:pt idx="0">
                  <c:v>0</c:v>
                </c:pt>
                <c:pt idx="1">
                  <c:v>4752000</c:v>
                </c:pt>
                <c:pt idx="2">
                  <c:v>9504000</c:v>
                </c:pt>
                <c:pt idx="3">
                  <c:v>14256000</c:v>
                </c:pt>
                <c:pt idx="4">
                  <c:v>19008000</c:v>
                </c:pt>
                <c:pt idx="5">
                  <c:v>23760000</c:v>
                </c:pt>
                <c:pt idx="6">
                  <c:v>28512000</c:v>
                </c:pt>
                <c:pt idx="7">
                  <c:v>33264000</c:v>
                </c:pt>
                <c:pt idx="8">
                  <c:v>38016000</c:v>
                </c:pt>
                <c:pt idx="9">
                  <c:v>42768000</c:v>
                </c:pt>
                <c:pt idx="10">
                  <c:v>47520000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317536"/>
        <c:axId val="379321064"/>
      </c:scatterChart>
      <c:valAx>
        <c:axId val="379317536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321064"/>
        <c:crosses val="autoZero"/>
        <c:crossBetween val="midCat"/>
      </c:valAx>
      <c:valAx>
        <c:axId val="379321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317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Gesamte Betriebskosten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Deutsch!$D$14</c:f>
              <c:strCache>
                <c:ptCount val="1"/>
                <c:pt idx="0">
                  <c:v>Hyunday Kona EV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Deutsch!$C$56:$C$66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Deutsch!$D$56:$D$66</c:f>
              <c:numCache>
                <c:formatCode>#,##0.00</c:formatCode>
                <c:ptCount val="11"/>
                <c:pt idx="0">
                  <c:v>29589.354629119996</c:v>
                </c:pt>
                <c:pt idx="1">
                  <c:v>34172.687962453332</c:v>
                </c:pt>
                <c:pt idx="2">
                  <c:v>38756.021295786661</c:v>
                </c:pt>
                <c:pt idx="3">
                  <c:v>43339.354629119996</c:v>
                </c:pt>
                <c:pt idx="4">
                  <c:v>47922.687962453332</c:v>
                </c:pt>
                <c:pt idx="5">
                  <c:v>52506.021295786668</c:v>
                </c:pt>
                <c:pt idx="6">
                  <c:v>57089.354629120004</c:v>
                </c:pt>
                <c:pt idx="7">
                  <c:v>61672.687962453332</c:v>
                </c:pt>
                <c:pt idx="8">
                  <c:v>66256.021295786661</c:v>
                </c:pt>
                <c:pt idx="9">
                  <c:v>70839.354629120004</c:v>
                </c:pt>
                <c:pt idx="10">
                  <c:v>75422.687962453347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Deutsch!$J$14</c:f>
              <c:strCache>
                <c:ptCount val="1"/>
                <c:pt idx="0">
                  <c:v>Hyundai Kona 1.6CRDI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Deutsch!$C$56:$C$66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Deutsch!$J$56:$J$66</c:f>
              <c:numCache>
                <c:formatCode>#,##0.00</c:formatCode>
                <c:ptCount val="11"/>
                <c:pt idx="0">
                  <c:v>22049.759459199999</c:v>
                </c:pt>
                <c:pt idx="1">
                  <c:v>30044.759459199999</c:v>
                </c:pt>
                <c:pt idx="2">
                  <c:v>38039.759459199995</c:v>
                </c:pt>
                <c:pt idx="3">
                  <c:v>46034.759459199995</c:v>
                </c:pt>
                <c:pt idx="4">
                  <c:v>54029.759459199995</c:v>
                </c:pt>
                <c:pt idx="5">
                  <c:v>62024.759459199995</c:v>
                </c:pt>
                <c:pt idx="6">
                  <c:v>70019.759459199995</c:v>
                </c:pt>
                <c:pt idx="7">
                  <c:v>78014.759459199995</c:v>
                </c:pt>
                <c:pt idx="8">
                  <c:v>86009.759459199995</c:v>
                </c:pt>
                <c:pt idx="9">
                  <c:v>94004.759459199995</c:v>
                </c:pt>
                <c:pt idx="10">
                  <c:v>101999.7594592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318320"/>
        <c:axId val="379319888"/>
      </c:scatterChart>
      <c:valAx>
        <c:axId val="379318320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319888"/>
        <c:crosses val="autoZero"/>
        <c:crossBetween val="midCat"/>
      </c:valAx>
      <c:valAx>
        <c:axId val="37931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318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Total CO</a:t>
            </a:r>
            <a:r>
              <a:rPr lang="de-CH" baseline="-25000"/>
              <a:t>2</a:t>
            </a:r>
            <a:r>
              <a:rPr lang="de-CH" baseline="0"/>
              <a:t> Ausstoss</a:t>
            </a:r>
            <a:endParaRPr lang="de-CH" baseline="-25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Deutsch!$D$14</c:f>
              <c:strCache>
                <c:ptCount val="1"/>
                <c:pt idx="0">
                  <c:v>Hyunday Kona EV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Deutsch!$C$99:$C$109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Deutsch!$D$99:$D$109</c:f>
              <c:numCache>
                <c:formatCode>#,##0.00</c:formatCode>
                <c:ptCount val="11"/>
                <c:pt idx="0">
                  <c:v>6700000</c:v>
                </c:pt>
                <c:pt idx="1">
                  <c:v>8792500</c:v>
                </c:pt>
                <c:pt idx="2">
                  <c:v>10885000</c:v>
                </c:pt>
                <c:pt idx="3">
                  <c:v>12977500</c:v>
                </c:pt>
                <c:pt idx="4">
                  <c:v>15070000</c:v>
                </c:pt>
                <c:pt idx="5">
                  <c:v>17162500</c:v>
                </c:pt>
                <c:pt idx="6">
                  <c:v>19255000</c:v>
                </c:pt>
                <c:pt idx="7">
                  <c:v>21347500</c:v>
                </c:pt>
                <c:pt idx="8">
                  <c:v>23440000</c:v>
                </c:pt>
                <c:pt idx="9">
                  <c:v>25532500</c:v>
                </c:pt>
                <c:pt idx="10">
                  <c:v>27625000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Deutsch!$J$14</c:f>
              <c:strCache>
                <c:ptCount val="1"/>
                <c:pt idx="0">
                  <c:v>Hyundai Kona 1.6CRDI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Deutsch!$C$99:$C$109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Deutsch!$J$99:$J$109</c:f>
              <c:numCache>
                <c:formatCode>#,##0.00</c:formatCode>
                <c:ptCount val="11"/>
                <c:pt idx="0">
                  <c:v>0</c:v>
                </c:pt>
                <c:pt idx="1">
                  <c:v>4752000</c:v>
                </c:pt>
                <c:pt idx="2">
                  <c:v>9504000</c:v>
                </c:pt>
                <c:pt idx="3">
                  <c:v>14256000</c:v>
                </c:pt>
                <c:pt idx="4">
                  <c:v>19008000</c:v>
                </c:pt>
                <c:pt idx="5">
                  <c:v>23760000</c:v>
                </c:pt>
                <c:pt idx="6">
                  <c:v>28512000</c:v>
                </c:pt>
                <c:pt idx="7">
                  <c:v>33264000</c:v>
                </c:pt>
                <c:pt idx="8">
                  <c:v>38016000</c:v>
                </c:pt>
                <c:pt idx="9">
                  <c:v>42768000</c:v>
                </c:pt>
                <c:pt idx="10">
                  <c:v>47520000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316752"/>
        <c:axId val="379318712"/>
      </c:scatterChart>
      <c:valAx>
        <c:axId val="379316752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318712"/>
        <c:crosses val="autoZero"/>
        <c:crossBetween val="midCat"/>
      </c:valAx>
      <c:valAx>
        <c:axId val="37931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316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calc.ch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calc.ch/" TargetMode="Externa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68</xdr:row>
      <xdr:rowOff>33336</xdr:rowOff>
    </xdr:from>
    <xdr:to>
      <xdr:col>11</xdr:col>
      <xdr:colOff>276225</xdr:colOff>
      <xdr:row>89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47626</xdr:colOff>
      <xdr:row>111</xdr:row>
      <xdr:rowOff>38100</xdr:rowOff>
    </xdr:from>
    <xdr:to>
      <xdr:col>11</xdr:col>
      <xdr:colOff>257176</xdr:colOff>
      <xdr:row>130</xdr:row>
      <xdr:rowOff>123825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723900</xdr:colOff>
      <xdr:row>1</xdr:row>
      <xdr:rowOff>135166</xdr:rowOff>
    </xdr:from>
    <xdr:to>
      <xdr:col>11</xdr:col>
      <xdr:colOff>302432</xdr:colOff>
      <xdr:row>4</xdr:row>
      <xdr:rowOff>179159</xdr:rowOff>
    </xdr:to>
    <xdr:pic>
      <xdr:nvPicPr>
        <xdr:cNvPr id="4" name="Grafik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325666"/>
          <a:ext cx="1388282" cy="767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68</xdr:row>
      <xdr:rowOff>33336</xdr:rowOff>
    </xdr:from>
    <xdr:to>
      <xdr:col>11</xdr:col>
      <xdr:colOff>276225</xdr:colOff>
      <xdr:row>89</xdr:row>
      <xdr:rowOff>152400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47626</xdr:colOff>
      <xdr:row>111</xdr:row>
      <xdr:rowOff>38100</xdr:rowOff>
    </xdr:from>
    <xdr:to>
      <xdr:col>11</xdr:col>
      <xdr:colOff>257176</xdr:colOff>
      <xdr:row>130</xdr:row>
      <xdr:rowOff>123825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714375</xdr:colOff>
      <xdr:row>1</xdr:row>
      <xdr:rowOff>133350</xdr:rowOff>
    </xdr:from>
    <xdr:to>
      <xdr:col>11</xdr:col>
      <xdr:colOff>292907</xdr:colOff>
      <xdr:row>4</xdr:row>
      <xdr:rowOff>139243</xdr:rowOff>
    </xdr:to>
    <xdr:pic>
      <xdr:nvPicPr>
        <xdr:cNvPr id="5" name="Grafik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5" y="323850"/>
          <a:ext cx="1388282" cy="767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topLeftCell="A67" zoomScaleNormal="100" workbookViewId="0">
      <selection activeCell="D92" sqref="D92"/>
    </sheetView>
  </sheetViews>
  <sheetFormatPr baseColWidth="10" defaultRowHeight="15" x14ac:dyDescent="0.25"/>
  <cols>
    <col min="1" max="1" width="4.5703125" style="1" customWidth="1"/>
    <col min="2" max="2" width="33" style="1" customWidth="1"/>
    <col min="3" max="3" width="9.140625" style="1" customWidth="1"/>
    <col min="4" max="4" width="18.5703125" style="2" customWidth="1"/>
    <col min="5" max="5" width="8.5703125" style="1" customWidth="1"/>
    <col min="6" max="6" width="4" style="1" customWidth="1"/>
    <col min="7" max="7" width="14.140625" style="2" customWidth="1"/>
    <col min="8" max="8" width="8.5703125" style="1" customWidth="1"/>
    <col min="9" max="9" width="4" style="1" customWidth="1"/>
    <col min="10" max="10" width="18.5703125" style="2" customWidth="1"/>
    <col min="11" max="11" width="8.5703125" style="1" customWidth="1"/>
    <col min="12" max="12" width="4.5703125" style="1" customWidth="1"/>
    <col min="13" max="16384" width="11.42578125" style="1"/>
  </cols>
  <sheetData>
    <row r="1" spans="1:12" x14ac:dyDescent="0.25">
      <c r="L1" s="3" t="s">
        <v>71</v>
      </c>
    </row>
    <row r="2" spans="1:12" ht="21" x14ac:dyDescent="0.35">
      <c r="B2" s="4" t="s">
        <v>54</v>
      </c>
      <c r="H2" s="5" t="s">
        <v>0</v>
      </c>
    </row>
    <row r="3" spans="1:12" ht="21" x14ac:dyDescent="0.35">
      <c r="B3" s="4" t="s">
        <v>53</v>
      </c>
      <c r="H3" s="5" t="s">
        <v>139</v>
      </c>
    </row>
    <row r="4" spans="1:12" ht="15" customHeight="1" x14ac:dyDescent="0.35">
      <c r="B4" s="4"/>
      <c r="H4" s="5"/>
    </row>
    <row r="5" spans="1:12" ht="15" customHeight="1" x14ac:dyDescent="0.35">
      <c r="B5" s="4"/>
      <c r="J5" s="5"/>
    </row>
    <row r="6" spans="1:12" ht="18" x14ac:dyDescent="0.35">
      <c r="B6" s="1" t="s">
        <v>51</v>
      </c>
      <c r="J6" s="6" t="s">
        <v>50</v>
      </c>
      <c r="K6" s="7"/>
      <c r="L6" s="7"/>
    </row>
    <row r="7" spans="1:12" x14ac:dyDescent="0.25">
      <c r="B7" s="1" t="s">
        <v>78</v>
      </c>
      <c r="J7" s="8" t="s">
        <v>8</v>
      </c>
      <c r="K7" s="42" t="s">
        <v>10</v>
      </c>
      <c r="L7" s="9"/>
    </row>
    <row r="8" spans="1:12" x14ac:dyDescent="0.25">
      <c r="B8" s="1" t="s">
        <v>55</v>
      </c>
      <c r="J8" s="8" t="s">
        <v>7</v>
      </c>
      <c r="K8" s="43" t="s">
        <v>4</v>
      </c>
      <c r="L8" s="9"/>
    </row>
    <row r="9" spans="1:12" x14ac:dyDescent="0.25">
      <c r="B9" s="1" t="s">
        <v>56</v>
      </c>
      <c r="J9" s="8" t="s">
        <v>6</v>
      </c>
      <c r="K9" s="43" t="s">
        <v>9</v>
      </c>
      <c r="L9" s="9"/>
    </row>
    <row r="10" spans="1:12" x14ac:dyDescent="0.25">
      <c r="B10" s="1" t="s">
        <v>60</v>
      </c>
      <c r="J10" s="8" t="s">
        <v>37</v>
      </c>
      <c r="K10" s="44" t="s">
        <v>36</v>
      </c>
      <c r="L10" s="9"/>
    </row>
    <row r="11" spans="1:12" ht="18" x14ac:dyDescent="0.35">
      <c r="B11" s="10" t="s">
        <v>52</v>
      </c>
      <c r="J11" s="8"/>
      <c r="K11" s="9"/>
      <c r="L11" s="9"/>
    </row>
    <row r="13" spans="1:12" s="14" customFormat="1" ht="18.75" x14ac:dyDescent="0.3">
      <c r="A13" s="11"/>
      <c r="B13" s="12" t="s">
        <v>1</v>
      </c>
      <c r="C13" s="11"/>
      <c r="D13" s="13" t="s">
        <v>2</v>
      </c>
      <c r="E13" s="11"/>
      <c r="F13" s="11"/>
      <c r="G13" s="13" t="s">
        <v>12</v>
      </c>
      <c r="H13" s="11"/>
      <c r="I13" s="11"/>
      <c r="J13" s="13" t="s">
        <v>3</v>
      </c>
      <c r="K13" s="11"/>
      <c r="L13" s="11"/>
    </row>
    <row r="14" spans="1:12" x14ac:dyDescent="0.25">
      <c r="A14" s="9"/>
      <c r="B14" s="9" t="s">
        <v>11</v>
      </c>
      <c r="C14" s="9"/>
      <c r="D14" s="45" t="s">
        <v>63</v>
      </c>
      <c r="E14" s="9"/>
      <c r="F14" s="9"/>
      <c r="G14" s="8"/>
      <c r="H14" s="9"/>
      <c r="I14" s="9"/>
      <c r="J14" s="45" t="s">
        <v>62</v>
      </c>
      <c r="K14" s="9"/>
      <c r="L14" s="9"/>
    </row>
    <row r="15" spans="1:12" x14ac:dyDescent="0.25">
      <c r="A15" s="9"/>
      <c r="B15" s="9" t="s">
        <v>33</v>
      </c>
      <c r="C15" s="9"/>
      <c r="D15" s="45">
        <v>67</v>
      </c>
      <c r="E15" s="9" t="s">
        <v>34</v>
      </c>
      <c r="F15" s="9"/>
      <c r="G15" s="8"/>
      <c r="H15" s="9"/>
      <c r="I15" s="9"/>
      <c r="J15" s="8"/>
      <c r="K15" s="9"/>
      <c r="L15" s="9"/>
    </row>
    <row r="16" spans="1:12" x14ac:dyDescent="0.25">
      <c r="A16" s="9"/>
      <c r="B16" s="9"/>
      <c r="C16" s="9"/>
      <c r="D16" s="8"/>
      <c r="E16" s="9"/>
      <c r="F16" s="9"/>
      <c r="G16" s="8"/>
      <c r="H16" s="9"/>
      <c r="I16" s="9"/>
      <c r="J16" s="8"/>
      <c r="K16" s="9"/>
      <c r="L16" s="9"/>
    </row>
    <row r="18" spans="1:12" ht="18.75" x14ac:dyDescent="0.3">
      <c r="A18" s="7"/>
      <c r="B18" s="12" t="s">
        <v>22</v>
      </c>
      <c r="C18" s="7"/>
      <c r="D18" s="13" t="str">
        <f>$D$13</f>
        <v>Electric Vehicle</v>
      </c>
      <c r="E18" s="11"/>
      <c r="F18" s="11"/>
      <c r="G18" s="13" t="str">
        <f>$G$13</f>
        <v>Both</v>
      </c>
      <c r="H18" s="11"/>
      <c r="I18" s="11"/>
      <c r="J18" s="13" t="str">
        <f>$J$13</f>
        <v>Combustion Engine</v>
      </c>
      <c r="K18" s="7"/>
      <c r="L18" s="7"/>
    </row>
    <row r="19" spans="1:12" x14ac:dyDescent="0.25">
      <c r="A19" s="9"/>
      <c r="B19" s="9" t="s">
        <v>70</v>
      </c>
      <c r="C19" s="9"/>
      <c r="D19" s="46">
        <v>45600</v>
      </c>
      <c r="E19" s="9" t="str">
        <f>$K$7</f>
        <v>€</v>
      </c>
      <c r="F19" s="9"/>
      <c r="G19" s="8"/>
      <c r="H19" s="9"/>
      <c r="I19" s="9"/>
      <c r="J19" s="46">
        <v>31000</v>
      </c>
      <c r="K19" s="9" t="str">
        <f>$K$7</f>
        <v>€</v>
      </c>
      <c r="L19" s="9"/>
    </row>
    <row r="20" spans="1:12" x14ac:dyDescent="0.25">
      <c r="A20" s="9"/>
      <c r="B20" s="9" t="s">
        <v>43</v>
      </c>
      <c r="C20" s="9"/>
      <c r="D20" s="46">
        <v>4000</v>
      </c>
      <c r="E20" s="9" t="str">
        <f>$K$7</f>
        <v>€</v>
      </c>
      <c r="F20" s="9"/>
      <c r="G20" s="8"/>
      <c r="H20" s="9"/>
      <c r="I20" s="9"/>
      <c r="J20" s="46">
        <v>0</v>
      </c>
      <c r="K20" s="9" t="str">
        <f>$K$7</f>
        <v>€</v>
      </c>
      <c r="L20" s="9"/>
    </row>
    <row r="21" spans="1:12" x14ac:dyDescent="0.25">
      <c r="A21" s="9"/>
      <c r="B21" s="9" t="s">
        <v>13</v>
      </c>
      <c r="C21" s="9"/>
      <c r="D21" s="8"/>
      <c r="E21" s="9"/>
      <c r="F21" s="9"/>
      <c r="G21" s="46">
        <v>5</v>
      </c>
      <c r="H21" s="9" t="s">
        <v>14</v>
      </c>
      <c r="I21" s="9"/>
      <c r="J21" s="8"/>
      <c r="K21" s="9"/>
      <c r="L21" s="9"/>
    </row>
    <row r="22" spans="1:12" x14ac:dyDescent="0.25">
      <c r="A22" s="9"/>
      <c r="B22" s="9" t="s">
        <v>29</v>
      </c>
      <c r="C22" s="9"/>
      <c r="D22" s="46">
        <v>22</v>
      </c>
      <c r="E22" s="9" t="str">
        <f>"%/Year"</f>
        <v>%/Year</v>
      </c>
      <c r="F22" s="9"/>
      <c r="G22" s="8"/>
      <c r="H22" s="9"/>
      <c r="I22" s="9"/>
      <c r="J22" s="46">
        <v>22</v>
      </c>
      <c r="K22" s="9" t="str">
        <f>"%/Year"</f>
        <v>%/Year</v>
      </c>
      <c r="L22" s="9"/>
    </row>
    <row r="23" spans="1:12" x14ac:dyDescent="0.25">
      <c r="A23" s="9"/>
      <c r="B23" s="9" t="s">
        <v>49</v>
      </c>
      <c r="C23" s="9"/>
      <c r="D23" s="8">
        <f>(D19-D20)*(1-($D$22/100))^$G$21</f>
        <v>12010.645370880002</v>
      </c>
      <c r="E23" s="9" t="str">
        <f>$K$7</f>
        <v>€</v>
      </c>
      <c r="F23" s="9"/>
      <c r="G23" s="8"/>
      <c r="H23" s="9"/>
      <c r="I23" s="9"/>
      <c r="J23" s="8">
        <f>(J19-J20)*(1-($J$22/100))^$G$21</f>
        <v>8950.2405408000013</v>
      </c>
      <c r="K23" s="9" t="str">
        <f>$K$7</f>
        <v>€</v>
      </c>
      <c r="L23" s="9"/>
    </row>
    <row r="25" spans="1:12" s="14" customFormat="1" ht="18.75" x14ac:dyDescent="0.3">
      <c r="A25" s="11"/>
      <c r="B25" s="12" t="s">
        <v>46</v>
      </c>
      <c r="C25" s="11"/>
      <c r="D25" s="13" t="str">
        <f>$D$13</f>
        <v>Electric Vehicle</v>
      </c>
      <c r="E25" s="11"/>
      <c r="F25" s="11"/>
      <c r="G25" s="13"/>
      <c r="H25" s="11"/>
      <c r="I25" s="11"/>
      <c r="J25" s="13" t="str">
        <f>$J$13</f>
        <v>Combustion Engine</v>
      </c>
      <c r="K25" s="11"/>
      <c r="L25" s="11"/>
    </row>
    <row r="26" spans="1:12" x14ac:dyDescent="0.25">
      <c r="A26" s="9"/>
      <c r="B26" s="9" t="s">
        <v>68</v>
      </c>
      <c r="C26" s="9"/>
      <c r="D26" s="46">
        <v>0</v>
      </c>
      <c r="E26" s="9" t="str">
        <f>$K$7&amp;"/month"</f>
        <v>€/month</v>
      </c>
      <c r="F26" s="9"/>
      <c r="G26" s="8"/>
      <c r="H26" s="9"/>
      <c r="I26" s="9"/>
      <c r="J26" s="46">
        <v>0</v>
      </c>
      <c r="K26" s="9" t="str">
        <f>$K$7&amp;"/month"</f>
        <v>€/month</v>
      </c>
      <c r="L26" s="9"/>
    </row>
    <row r="27" spans="1:12" x14ac:dyDescent="0.25">
      <c r="A27" s="9"/>
      <c r="B27" s="9" t="s">
        <v>69</v>
      </c>
      <c r="C27" s="9"/>
      <c r="D27" s="46">
        <v>0</v>
      </c>
      <c r="E27" s="9" t="str">
        <f>$K$7&amp;"/month"</f>
        <v>€/month</v>
      </c>
      <c r="F27" s="9"/>
      <c r="G27" s="8"/>
      <c r="H27" s="9"/>
      <c r="I27" s="9"/>
      <c r="J27" s="8"/>
      <c r="K27" s="9"/>
      <c r="L27" s="9"/>
    </row>
    <row r="28" spans="1:12" x14ac:dyDescent="0.25">
      <c r="A28" s="9"/>
      <c r="B28" s="9"/>
      <c r="C28" s="9"/>
      <c r="D28" s="8"/>
      <c r="E28" s="9"/>
      <c r="F28" s="9"/>
      <c r="G28" s="8"/>
      <c r="H28" s="9"/>
      <c r="I28" s="9"/>
      <c r="J28" s="8"/>
      <c r="K28" s="9"/>
      <c r="L28" s="9"/>
    </row>
    <row r="29" spans="1:12" x14ac:dyDescent="0.25">
      <c r="A29" s="9"/>
      <c r="B29" s="9" t="s">
        <v>44</v>
      </c>
      <c r="C29" s="9"/>
      <c r="D29" s="46">
        <v>1200</v>
      </c>
      <c r="E29" s="9" t="str">
        <f>$K$7&amp;"/year"</f>
        <v>€/year</v>
      </c>
      <c r="F29" s="9"/>
      <c r="G29" s="8"/>
      <c r="H29" s="9"/>
      <c r="I29" s="9"/>
      <c r="J29" s="46">
        <v>1000</v>
      </c>
      <c r="K29" s="9" t="str">
        <f>$K$7&amp;"/year"</f>
        <v>€/year</v>
      </c>
      <c r="L29" s="9"/>
    </row>
    <row r="30" spans="1:12" x14ac:dyDescent="0.25">
      <c r="A30" s="9"/>
      <c r="B30" s="9" t="s">
        <v>45</v>
      </c>
      <c r="C30" s="9"/>
      <c r="D30" s="46">
        <v>0</v>
      </c>
      <c r="E30" s="9" t="str">
        <f>$K$7&amp;"/year"</f>
        <v>€/year</v>
      </c>
      <c r="F30" s="9"/>
      <c r="G30" s="8"/>
      <c r="H30" s="9"/>
      <c r="I30" s="9"/>
      <c r="J30" s="46">
        <v>500</v>
      </c>
      <c r="K30" s="9" t="str">
        <f>$K$7&amp;"/year"</f>
        <v>€/year</v>
      </c>
      <c r="L30" s="9"/>
    </row>
    <row r="31" spans="1:12" s="18" customFormat="1" ht="18.75" x14ac:dyDescent="0.3">
      <c r="A31" s="16"/>
      <c r="B31" s="16" t="s">
        <v>48</v>
      </c>
      <c r="C31" s="16"/>
      <c r="D31" s="17">
        <f>D30+D29+12*(D26+D27)</f>
        <v>1200</v>
      </c>
      <c r="E31" s="16" t="str">
        <f>$K$7&amp;"/year"</f>
        <v>€/year</v>
      </c>
      <c r="F31" s="16"/>
      <c r="G31" s="17"/>
      <c r="H31" s="16"/>
      <c r="I31" s="16"/>
      <c r="J31" s="17">
        <f>J30+J29+12*J26</f>
        <v>1500</v>
      </c>
      <c r="K31" s="16" t="str">
        <f>$K$7&amp;"/year"</f>
        <v>€/year</v>
      </c>
      <c r="L31" s="16"/>
    </row>
    <row r="33" spans="1:12" ht="18.75" x14ac:dyDescent="0.3">
      <c r="A33" s="7"/>
      <c r="B33" s="12" t="s">
        <v>15</v>
      </c>
      <c r="C33" s="7"/>
      <c r="D33" s="13" t="str">
        <f>$D$13</f>
        <v>Electric Vehicle</v>
      </c>
      <c r="E33" s="11"/>
      <c r="F33" s="11"/>
      <c r="G33" s="13" t="str">
        <f>$G$13</f>
        <v>Both</v>
      </c>
      <c r="H33" s="11"/>
      <c r="I33" s="11"/>
      <c r="J33" s="13" t="str">
        <f>$J$13</f>
        <v>Combustion Engine</v>
      </c>
      <c r="K33" s="7"/>
      <c r="L33" s="7"/>
    </row>
    <row r="34" spans="1:12" x14ac:dyDescent="0.25">
      <c r="A34" s="9"/>
      <c r="B34" s="9" t="s">
        <v>5</v>
      </c>
      <c r="C34" s="9"/>
      <c r="D34" s="8"/>
      <c r="E34" s="9"/>
      <c r="F34" s="9"/>
      <c r="G34" s="46">
        <v>30000</v>
      </c>
      <c r="H34" s="9" t="str">
        <f>$K$9&amp;"/Year"</f>
        <v>km/Year</v>
      </c>
      <c r="I34" s="9"/>
      <c r="J34" s="8"/>
      <c r="K34" s="9"/>
      <c r="L34" s="9"/>
    </row>
    <row r="35" spans="1:12" x14ac:dyDescent="0.25">
      <c r="A35" s="9"/>
      <c r="B35" s="9" t="s">
        <v>16</v>
      </c>
      <c r="C35" s="9"/>
      <c r="D35" s="46">
        <v>0.14000000000000001</v>
      </c>
      <c r="E35" s="9" t="str">
        <f>$K$7&amp;"/kWh"</f>
        <v>€/kWh</v>
      </c>
      <c r="F35" s="9"/>
      <c r="G35" s="8"/>
      <c r="H35" s="9"/>
      <c r="I35" s="9"/>
      <c r="J35" s="46">
        <v>1.5</v>
      </c>
      <c r="K35" s="9" t="str">
        <f>$K$7&amp;"/"&amp;$K$8</f>
        <v>€/l</v>
      </c>
      <c r="L35" s="9"/>
    </row>
    <row r="36" spans="1:12" x14ac:dyDescent="0.25">
      <c r="A36" s="9"/>
      <c r="B36" s="9" t="s">
        <v>17</v>
      </c>
      <c r="C36" s="9"/>
      <c r="D36" s="46">
        <v>15.5</v>
      </c>
      <c r="E36" s="9" t="str">
        <f>"kWh/100"&amp;$K$9</f>
        <v>kWh/100km</v>
      </c>
      <c r="F36" s="9"/>
      <c r="G36" s="8"/>
      <c r="H36" s="9"/>
      <c r="I36" s="9"/>
      <c r="J36" s="46">
        <v>5</v>
      </c>
      <c r="K36" s="9" t="str">
        <f>$K$8&amp;"/100"&amp;$K$9</f>
        <v>l/100km</v>
      </c>
      <c r="L36" s="9"/>
    </row>
    <row r="37" spans="1:12" x14ac:dyDescent="0.25">
      <c r="A37" s="9"/>
      <c r="B37" s="9" t="s">
        <v>59</v>
      </c>
      <c r="C37" s="9"/>
      <c r="D37" s="46">
        <v>10</v>
      </c>
      <c r="E37" s="9" t="s">
        <v>18</v>
      </c>
      <c r="F37" s="9"/>
      <c r="G37" s="8"/>
      <c r="H37" s="9"/>
      <c r="I37" s="9"/>
      <c r="J37" s="19"/>
      <c r="K37" s="9"/>
      <c r="L37" s="9"/>
    </row>
    <row r="38" spans="1:12" x14ac:dyDescent="0.25">
      <c r="A38" s="9"/>
      <c r="B38" s="9" t="s">
        <v>19</v>
      </c>
      <c r="C38" s="9"/>
      <c r="D38" s="8"/>
      <c r="E38" s="9"/>
      <c r="F38" s="9"/>
      <c r="G38" s="8"/>
      <c r="H38" s="9"/>
      <c r="I38" s="9"/>
      <c r="J38" s="46">
        <v>7</v>
      </c>
      <c r="K38" s="9" t="str">
        <f>$K$7&amp;"/"&amp;$K$8</f>
        <v>€/l</v>
      </c>
      <c r="L38" s="9"/>
    </row>
    <row r="39" spans="1:12" x14ac:dyDescent="0.25">
      <c r="A39" s="9"/>
      <c r="B39" s="9" t="s">
        <v>20</v>
      </c>
      <c r="C39" s="9"/>
      <c r="D39" s="8"/>
      <c r="E39" s="9"/>
      <c r="F39" s="9"/>
      <c r="G39" s="8"/>
      <c r="H39" s="9"/>
      <c r="I39" s="9"/>
      <c r="J39" s="46">
        <v>5</v>
      </c>
      <c r="K39" s="9" t="s">
        <v>18</v>
      </c>
      <c r="L39" s="9"/>
    </row>
    <row r="40" spans="1:12" s="18" customFormat="1" ht="18.75" x14ac:dyDescent="0.3">
      <c r="A40" s="16"/>
      <c r="B40" s="16" t="s">
        <v>47</v>
      </c>
      <c r="C40" s="16"/>
      <c r="D40" s="17">
        <f>$G$34/100*D36*D35/(100-D37)*100</f>
        <v>723.33333333333348</v>
      </c>
      <c r="E40" s="16" t="str">
        <f>$K$7&amp;"/year"</f>
        <v>€/year</v>
      </c>
      <c r="F40" s="16"/>
      <c r="G40" s="17"/>
      <c r="H40" s="16"/>
      <c r="I40" s="16"/>
      <c r="J40" s="17">
        <f>$G$34/100*(J36*J35+J36*J39/100*J38)</f>
        <v>2775</v>
      </c>
      <c r="K40" s="16" t="str">
        <f>$K$7&amp;"/year"</f>
        <v>€/year</v>
      </c>
      <c r="L40" s="16"/>
    </row>
    <row r="43" spans="1:12" ht="18.75" x14ac:dyDescent="0.3">
      <c r="A43" s="7"/>
      <c r="B43" s="12" t="s">
        <v>21</v>
      </c>
      <c r="C43" s="7"/>
      <c r="D43" s="13" t="str">
        <f>$D$13</f>
        <v>Electric Vehicle</v>
      </c>
      <c r="E43" s="11"/>
      <c r="F43" s="11"/>
      <c r="G43" s="13"/>
      <c r="H43" s="11"/>
      <c r="I43" s="11"/>
      <c r="J43" s="13" t="str">
        <f>$J$13</f>
        <v>Combustion Engine</v>
      </c>
      <c r="K43" s="7"/>
      <c r="L43" s="7"/>
    </row>
    <row r="44" spans="1:12" x14ac:dyDescent="0.25">
      <c r="A44" s="9"/>
      <c r="B44" s="9" t="s">
        <v>23</v>
      </c>
      <c r="C44" s="9"/>
      <c r="D44" s="46">
        <v>150000</v>
      </c>
      <c r="E44" s="9" t="str">
        <f>$K$9</f>
        <v>km</v>
      </c>
      <c r="F44" s="9"/>
      <c r="G44" s="8"/>
      <c r="H44" s="9"/>
      <c r="I44" s="9"/>
      <c r="J44" s="46">
        <v>50000</v>
      </c>
      <c r="K44" s="9" t="str">
        <f>$K$9</f>
        <v>km</v>
      </c>
      <c r="L44" s="9"/>
    </row>
    <row r="45" spans="1:12" x14ac:dyDescent="0.25">
      <c r="A45" s="9"/>
      <c r="B45" s="9" t="s">
        <v>24</v>
      </c>
      <c r="C45" s="9"/>
      <c r="D45" s="46">
        <v>1800</v>
      </c>
      <c r="E45" s="9" t="str">
        <f>$K$7</f>
        <v>€</v>
      </c>
      <c r="F45" s="9"/>
      <c r="G45" s="8"/>
      <c r="H45" s="9"/>
      <c r="I45" s="9"/>
      <c r="J45" s="46">
        <v>1800</v>
      </c>
      <c r="K45" s="9" t="str">
        <f>$K$7</f>
        <v>€</v>
      </c>
      <c r="L45" s="9"/>
    </row>
    <row r="46" spans="1:12" s="10" customFormat="1" x14ac:dyDescent="0.25">
      <c r="A46" s="20"/>
      <c r="B46" s="20" t="s">
        <v>25</v>
      </c>
      <c r="C46" s="20"/>
      <c r="D46" s="21">
        <f>D45/D44*$G$34</f>
        <v>360</v>
      </c>
      <c r="E46" s="20" t="str">
        <f>$K$7</f>
        <v>€</v>
      </c>
      <c r="F46" s="20"/>
      <c r="G46" s="21"/>
      <c r="H46" s="20"/>
      <c r="I46" s="20"/>
      <c r="J46" s="21">
        <f>J45/J44*$G$34</f>
        <v>1080</v>
      </c>
      <c r="K46" s="20" t="str">
        <f>$K$7</f>
        <v>€</v>
      </c>
      <c r="L46" s="20"/>
    </row>
    <row r="47" spans="1:12" x14ac:dyDescent="0.25">
      <c r="A47" s="9"/>
      <c r="B47" s="9"/>
      <c r="C47" s="9"/>
      <c r="D47" s="8"/>
      <c r="E47" s="9"/>
      <c r="F47" s="9"/>
      <c r="G47" s="8"/>
      <c r="H47" s="9"/>
      <c r="I47" s="9"/>
      <c r="J47" s="8"/>
      <c r="K47" s="9"/>
      <c r="L47" s="9"/>
    </row>
    <row r="48" spans="1:12" x14ac:dyDescent="0.25">
      <c r="A48" s="9"/>
      <c r="B48" s="9" t="s">
        <v>26</v>
      </c>
      <c r="C48" s="9"/>
      <c r="D48" s="46">
        <v>20000</v>
      </c>
      <c r="E48" s="9" t="str">
        <f>$K$9</f>
        <v>km</v>
      </c>
      <c r="F48" s="9"/>
      <c r="G48" s="8"/>
      <c r="H48" s="9"/>
      <c r="I48" s="9"/>
      <c r="J48" s="46">
        <v>25000</v>
      </c>
      <c r="K48" s="9" t="str">
        <f>$K$9</f>
        <v>km</v>
      </c>
      <c r="L48" s="9"/>
    </row>
    <row r="49" spans="1:12" x14ac:dyDescent="0.25">
      <c r="A49" s="9"/>
      <c r="B49" s="9" t="s">
        <v>27</v>
      </c>
      <c r="C49" s="9"/>
      <c r="D49" s="46">
        <v>1200</v>
      </c>
      <c r="E49" s="9" t="str">
        <f>$K$7</f>
        <v>€</v>
      </c>
      <c r="F49" s="9"/>
      <c r="G49" s="8"/>
      <c r="H49" s="9"/>
      <c r="I49" s="9"/>
      <c r="J49" s="46">
        <v>1200</v>
      </c>
      <c r="K49" s="9" t="str">
        <f>$K$7</f>
        <v>€</v>
      </c>
      <c r="L49" s="9"/>
    </row>
    <row r="50" spans="1:12" s="10" customFormat="1" x14ac:dyDescent="0.25">
      <c r="A50" s="20"/>
      <c r="B50" s="20" t="s">
        <v>28</v>
      </c>
      <c r="C50" s="20"/>
      <c r="D50" s="21">
        <f>D49/D48*$G$34</f>
        <v>1800</v>
      </c>
      <c r="E50" s="9" t="str">
        <f>$K$7</f>
        <v>€</v>
      </c>
      <c r="F50" s="20"/>
      <c r="G50" s="21"/>
      <c r="H50" s="20"/>
      <c r="I50" s="20"/>
      <c r="J50" s="21">
        <f>J49/J48*$G$34</f>
        <v>1440</v>
      </c>
      <c r="K50" s="9" t="str">
        <f>$K$7</f>
        <v>€</v>
      </c>
      <c r="L50" s="20"/>
    </row>
    <row r="51" spans="1:12" x14ac:dyDescent="0.25">
      <c r="A51" s="9"/>
      <c r="B51" s="9"/>
      <c r="C51" s="9"/>
      <c r="D51" s="8"/>
      <c r="E51" s="9"/>
      <c r="F51" s="9"/>
      <c r="G51" s="8"/>
      <c r="H51" s="9"/>
      <c r="I51" s="9"/>
      <c r="J51" s="8"/>
      <c r="K51" s="9"/>
      <c r="L51" s="9"/>
    </row>
    <row r="52" spans="1:12" x14ac:dyDescent="0.25">
      <c r="A52" s="9"/>
      <c r="B52" s="9" t="s">
        <v>57</v>
      </c>
      <c r="C52" s="9"/>
      <c r="D52" s="46">
        <v>500</v>
      </c>
      <c r="E52" s="9" t="str">
        <f>$K$7&amp;"/Year"</f>
        <v>€/Year</v>
      </c>
      <c r="F52" s="9"/>
      <c r="G52" s="8"/>
      <c r="H52" s="9"/>
      <c r="I52" s="9"/>
      <c r="J52" s="46">
        <v>1200</v>
      </c>
      <c r="K52" s="9" t="str">
        <f>$K$7&amp;"/Year"</f>
        <v>€/Year</v>
      </c>
      <c r="L52" s="9"/>
    </row>
    <row r="53" spans="1:12" s="18" customFormat="1" ht="18.75" x14ac:dyDescent="0.3">
      <c r="A53" s="16"/>
      <c r="B53" s="16" t="s">
        <v>138</v>
      </c>
      <c r="C53" s="16"/>
      <c r="D53" s="17">
        <f>D46+D50+D52</f>
        <v>2660</v>
      </c>
      <c r="E53" s="16" t="str">
        <f>$K$7&amp;"/year"</f>
        <v>€/year</v>
      </c>
      <c r="F53" s="16"/>
      <c r="G53" s="17"/>
      <c r="H53" s="16"/>
      <c r="I53" s="16"/>
      <c r="J53" s="17">
        <f>J46+J50+J52</f>
        <v>3720</v>
      </c>
      <c r="K53" s="16" t="str">
        <f>$K$7&amp;"/year"</f>
        <v>€/year</v>
      </c>
      <c r="L53" s="16"/>
    </row>
    <row r="55" spans="1:12" s="18" customFormat="1" ht="18.75" x14ac:dyDescent="0.3">
      <c r="A55" s="12"/>
      <c r="B55" s="12" t="s">
        <v>30</v>
      </c>
      <c r="C55" s="12"/>
      <c r="D55" s="13" t="str">
        <f>$D$13</f>
        <v>Electric Vehicle</v>
      </c>
      <c r="E55" s="11"/>
      <c r="F55" s="11"/>
      <c r="G55" s="13"/>
      <c r="H55" s="11"/>
      <c r="I55" s="11"/>
      <c r="J55" s="13" t="str">
        <f>$J$13</f>
        <v>Combustion Engine</v>
      </c>
      <c r="K55" s="12"/>
      <c r="L55" s="12"/>
    </row>
    <row r="56" spans="1:12" x14ac:dyDescent="0.25">
      <c r="A56" s="9"/>
      <c r="B56" s="22" t="s">
        <v>31</v>
      </c>
      <c r="C56" s="23">
        <v>0</v>
      </c>
      <c r="D56" s="24">
        <f>D19-D20-D23</f>
        <v>29589.354629119996</v>
      </c>
      <c r="E56" s="23" t="str">
        <f>$K$7</f>
        <v>€</v>
      </c>
      <c r="F56" s="23"/>
      <c r="G56" s="24"/>
      <c r="H56" s="23"/>
      <c r="I56" s="23"/>
      <c r="J56" s="24">
        <f>J19-J23</f>
        <v>22049.759459199999</v>
      </c>
      <c r="K56" s="23" t="str">
        <f>$K$7</f>
        <v>€</v>
      </c>
      <c r="L56" s="9"/>
    </row>
    <row r="57" spans="1:12" x14ac:dyDescent="0.25">
      <c r="A57" s="9"/>
      <c r="B57" s="25" t="s">
        <v>32</v>
      </c>
      <c r="C57" s="26">
        <v>1</v>
      </c>
      <c r="D57" s="27">
        <f t="shared" ref="D57:D66" si="0">$D$56+C57*($D$53+$D$40+$D$31)</f>
        <v>34172.687962453332</v>
      </c>
      <c r="E57" s="26" t="str">
        <f>$K$7</f>
        <v>€</v>
      </c>
      <c r="F57" s="26"/>
      <c r="G57" s="27"/>
      <c r="H57" s="26"/>
      <c r="I57" s="26"/>
      <c r="J57" s="27">
        <f t="shared" ref="J57:J66" si="1">$J$56+C57*($J$53+$J$40+$J$31)</f>
        <v>30044.759459199999</v>
      </c>
      <c r="K57" s="26" t="str">
        <f>$K$7</f>
        <v>€</v>
      </c>
      <c r="L57" s="9"/>
    </row>
    <row r="58" spans="1:12" x14ac:dyDescent="0.25">
      <c r="A58" s="9"/>
      <c r="B58" s="25" t="s">
        <v>32</v>
      </c>
      <c r="C58" s="26">
        <v>2</v>
      </c>
      <c r="D58" s="27">
        <f t="shared" si="0"/>
        <v>38756.021295786661</v>
      </c>
      <c r="E58" s="26" t="str">
        <f t="shared" ref="E58:E68" si="2">$K$7</f>
        <v>€</v>
      </c>
      <c r="F58" s="26"/>
      <c r="G58" s="27"/>
      <c r="H58" s="26"/>
      <c r="I58" s="26"/>
      <c r="J58" s="27">
        <f t="shared" si="1"/>
        <v>38039.759459199995</v>
      </c>
      <c r="K58" s="26" t="str">
        <f t="shared" ref="K58:K66" si="3">$K$7</f>
        <v>€</v>
      </c>
      <c r="L58" s="9"/>
    </row>
    <row r="59" spans="1:12" x14ac:dyDescent="0.25">
      <c r="A59" s="9"/>
      <c r="B59" s="25" t="s">
        <v>32</v>
      </c>
      <c r="C59" s="26">
        <v>3</v>
      </c>
      <c r="D59" s="27">
        <f t="shared" si="0"/>
        <v>43339.354629119996</v>
      </c>
      <c r="E59" s="26" t="str">
        <f t="shared" si="2"/>
        <v>€</v>
      </c>
      <c r="F59" s="26"/>
      <c r="G59" s="27"/>
      <c r="H59" s="26"/>
      <c r="I59" s="26"/>
      <c r="J59" s="27">
        <f t="shared" si="1"/>
        <v>46034.759459199995</v>
      </c>
      <c r="K59" s="26" t="str">
        <f t="shared" si="3"/>
        <v>€</v>
      </c>
      <c r="L59" s="9"/>
    </row>
    <row r="60" spans="1:12" x14ac:dyDescent="0.25">
      <c r="A60" s="9"/>
      <c r="B60" s="25" t="s">
        <v>32</v>
      </c>
      <c r="C60" s="26">
        <v>4</v>
      </c>
      <c r="D60" s="27">
        <f t="shared" si="0"/>
        <v>47922.687962453332</v>
      </c>
      <c r="E60" s="26" t="str">
        <f t="shared" si="2"/>
        <v>€</v>
      </c>
      <c r="F60" s="26"/>
      <c r="G60" s="27"/>
      <c r="H60" s="26"/>
      <c r="I60" s="26"/>
      <c r="J60" s="27">
        <f t="shared" si="1"/>
        <v>54029.759459199995</v>
      </c>
      <c r="K60" s="26" t="str">
        <f t="shared" si="3"/>
        <v>€</v>
      </c>
      <c r="L60" s="9"/>
    </row>
    <row r="61" spans="1:12" x14ac:dyDescent="0.25">
      <c r="A61" s="9"/>
      <c r="B61" s="25" t="s">
        <v>32</v>
      </c>
      <c r="C61" s="26">
        <v>5</v>
      </c>
      <c r="D61" s="27">
        <f t="shared" si="0"/>
        <v>52506.021295786668</v>
      </c>
      <c r="E61" s="26" t="str">
        <f t="shared" si="2"/>
        <v>€</v>
      </c>
      <c r="F61" s="26"/>
      <c r="G61" s="27"/>
      <c r="H61" s="26"/>
      <c r="I61" s="26"/>
      <c r="J61" s="27">
        <f t="shared" si="1"/>
        <v>62024.759459199995</v>
      </c>
      <c r="K61" s="26" t="str">
        <f t="shared" si="3"/>
        <v>€</v>
      </c>
      <c r="L61" s="9"/>
    </row>
    <row r="62" spans="1:12" x14ac:dyDescent="0.25">
      <c r="A62" s="9"/>
      <c r="B62" s="25" t="s">
        <v>32</v>
      </c>
      <c r="C62" s="26">
        <v>6</v>
      </c>
      <c r="D62" s="27">
        <f t="shared" si="0"/>
        <v>57089.354629120004</v>
      </c>
      <c r="E62" s="26" t="str">
        <f t="shared" si="2"/>
        <v>€</v>
      </c>
      <c r="F62" s="26"/>
      <c r="G62" s="27"/>
      <c r="H62" s="26"/>
      <c r="I62" s="26"/>
      <c r="J62" s="27">
        <f t="shared" si="1"/>
        <v>70019.759459199995</v>
      </c>
      <c r="K62" s="26" t="str">
        <f t="shared" si="3"/>
        <v>€</v>
      </c>
      <c r="L62" s="9"/>
    </row>
    <row r="63" spans="1:12" x14ac:dyDescent="0.25">
      <c r="A63" s="9"/>
      <c r="B63" s="25" t="s">
        <v>32</v>
      </c>
      <c r="C63" s="26">
        <v>7</v>
      </c>
      <c r="D63" s="27">
        <f t="shared" si="0"/>
        <v>61672.687962453332</v>
      </c>
      <c r="E63" s="26" t="str">
        <f t="shared" si="2"/>
        <v>€</v>
      </c>
      <c r="F63" s="26"/>
      <c r="G63" s="27"/>
      <c r="H63" s="26"/>
      <c r="I63" s="26"/>
      <c r="J63" s="27">
        <f t="shared" si="1"/>
        <v>78014.759459199995</v>
      </c>
      <c r="K63" s="26" t="str">
        <f t="shared" si="3"/>
        <v>€</v>
      </c>
      <c r="L63" s="9"/>
    </row>
    <row r="64" spans="1:12" x14ac:dyDescent="0.25">
      <c r="A64" s="9"/>
      <c r="B64" s="25" t="s">
        <v>32</v>
      </c>
      <c r="C64" s="26">
        <v>8</v>
      </c>
      <c r="D64" s="27">
        <f t="shared" si="0"/>
        <v>66256.021295786661</v>
      </c>
      <c r="E64" s="26" t="str">
        <f t="shared" si="2"/>
        <v>€</v>
      </c>
      <c r="F64" s="26"/>
      <c r="G64" s="27"/>
      <c r="H64" s="26"/>
      <c r="I64" s="26"/>
      <c r="J64" s="27">
        <f t="shared" si="1"/>
        <v>86009.759459199995</v>
      </c>
      <c r="K64" s="26" t="str">
        <f t="shared" si="3"/>
        <v>€</v>
      </c>
      <c r="L64" s="9"/>
    </row>
    <row r="65" spans="1:12" x14ac:dyDescent="0.25">
      <c r="A65" s="9"/>
      <c r="B65" s="25" t="s">
        <v>32</v>
      </c>
      <c r="C65" s="26">
        <v>9</v>
      </c>
      <c r="D65" s="27">
        <f t="shared" si="0"/>
        <v>70839.354629120004</v>
      </c>
      <c r="E65" s="26" t="str">
        <f t="shared" si="2"/>
        <v>€</v>
      </c>
      <c r="F65" s="26"/>
      <c r="G65" s="27"/>
      <c r="H65" s="26"/>
      <c r="I65" s="26"/>
      <c r="J65" s="27">
        <f t="shared" si="1"/>
        <v>94004.759459199995</v>
      </c>
      <c r="K65" s="26" t="str">
        <f t="shared" si="3"/>
        <v>€</v>
      </c>
      <c r="L65" s="9"/>
    </row>
    <row r="66" spans="1:12" x14ac:dyDescent="0.25">
      <c r="A66" s="9"/>
      <c r="B66" s="25" t="s">
        <v>32</v>
      </c>
      <c r="C66" s="26">
        <v>10</v>
      </c>
      <c r="D66" s="27">
        <f t="shared" si="0"/>
        <v>75422.687962453347</v>
      </c>
      <c r="E66" s="26" t="str">
        <f t="shared" si="2"/>
        <v>€</v>
      </c>
      <c r="F66" s="26"/>
      <c r="G66" s="27"/>
      <c r="H66" s="26"/>
      <c r="I66" s="26"/>
      <c r="J66" s="27">
        <f t="shared" si="1"/>
        <v>101999.7594592</v>
      </c>
      <c r="K66" s="26" t="str">
        <f t="shared" si="3"/>
        <v>€</v>
      </c>
      <c r="L66" s="9"/>
    </row>
    <row r="67" spans="1:12" x14ac:dyDescent="0.25">
      <c r="A67" s="9"/>
      <c r="B67" s="28"/>
      <c r="C67" s="29"/>
      <c r="D67" s="30"/>
      <c r="E67" s="29"/>
      <c r="F67" s="29"/>
      <c r="G67" s="30"/>
      <c r="H67" s="29"/>
      <c r="I67" s="29"/>
      <c r="J67" s="30"/>
      <c r="K67" s="29"/>
      <c r="L67" s="9"/>
    </row>
    <row r="68" spans="1:12" s="14" customFormat="1" ht="18.75" x14ac:dyDescent="0.3">
      <c r="A68" s="31"/>
      <c r="B68" s="32" t="s">
        <v>42</v>
      </c>
      <c r="C68" s="33" t="str">
        <f>$G$21&amp;" years:"</f>
        <v>5 years:</v>
      </c>
      <c r="D68" s="34">
        <f>J56-D56+$G$21*(J53-D53+J40-D40+J31-D31)</f>
        <v>9518.7381634133308</v>
      </c>
      <c r="E68" s="16" t="str">
        <f t="shared" si="2"/>
        <v>€</v>
      </c>
      <c r="F68" s="31"/>
      <c r="G68" s="33" t="s">
        <v>66</v>
      </c>
      <c r="H68" s="31"/>
      <c r="I68" s="31"/>
      <c r="J68" s="17">
        <f>((D19-D20-D23)-(J19-J20-J23))/(J31-D31+J40-D40+J53-D53)</f>
        <v>2.2099448470698579</v>
      </c>
      <c r="K68" s="16" t="s">
        <v>65</v>
      </c>
      <c r="L68" s="31"/>
    </row>
    <row r="69" spans="1:12" x14ac:dyDescent="0.25">
      <c r="A69" s="35"/>
      <c r="B69" s="35"/>
      <c r="C69" s="35"/>
      <c r="D69" s="15"/>
      <c r="E69" s="35"/>
      <c r="F69" s="35"/>
      <c r="G69" s="15"/>
      <c r="H69" s="35"/>
      <c r="I69" s="35"/>
      <c r="J69" s="15"/>
      <c r="K69" s="35"/>
      <c r="L69" s="35"/>
    </row>
    <row r="70" spans="1:12" x14ac:dyDescent="0.25">
      <c r="A70" s="35"/>
      <c r="B70" s="35"/>
      <c r="C70" s="35"/>
      <c r="D70" s="15"/>
      <c r="E70" s="35"/>
      <c r="F70" s="35"/>
      <c r="G70" s="15"/>
      <c r="H70" s="35"/>
      <c r="I70" s="35"/>
      <c r="J70" s="15"/>
      <c r="K70" s="35"/>
      <c r="L70" s="35"/>
    </row>
    <row r="71" spans="1:12" x14ac:dyDescent="0.25">
      <c r="A71" s="35"/>
      <c r="B71" s="35"/>
      <c r="C71" s="35"/>
      <c r="D71" s="15"/>
      <c r="E71" s="35"/>
      <c r="F71" s="35"/>
      <c r="G71" s="15"/>
      <c r="H71" s="35"/>
      <c r="I71" s="35"/>
      <c r="J71" s="15"/>
      <c r="K71" s="35"/>
      <c r="L71" s="35"/>
    </row>
    <row r="72" spans="1:12" x14ac:dyDescent="0.25">
      <c r="A72" s="35"/>
      <c r="B72" s="35"/>
      <c r="C72" s="35"/>
      <c r="D72" s="15"/>
      <c r="E72" s="35"/>
      <c r="F72" s="35"/>
      <c r="G72" s="15"/>
      <c r="H72" s="35"/>
      <c r="I72" s="35"/>
      <c r="J72" s="15"/>
      <c r="K72" s="35"/>
      <c r="L72" s="35"/>
    </row>
    <row r="73" spans="1:12" x14ac:dyDescent="0.25">
      <c r="A73" s="35"/>
      <c r="B73" s="35"/>
      <c r="C73" s="35"/>
      <c r="D73" s="15"/>
      <c r="E73" s="35"/>
      <c r="F73" s="35"/>
      <c r="G73" s="15"/>
      <c r="H73" s="35"/>
      <c r="I73" s="35"/>
      <c r="J73" s="15"/>
      <c r="K73" s="35"/>
      <c r="L73" s="35"/>
    </row>
    <row r="74" spans="1:12" x14ac:dyDescent="0.25">
      <c r="A74" s="35"/>
      <c r="B74" s="35"/>
      <c r="C74" s="35"/>
      <c r="D74" s="15"/>
      <c r="E74" s="35"/>
      <c r="F74" s="35"/>
      <c r="G74" s="15"/>
      <c r="H74" s="35"/>
      <c r="I74" s="35"/>
      <c r="J74" s="15"/>
      <c r="K74" s="35"/>
      <c r="L74" s="35"/>
    </row>
    <row r="75" spans="1:12" x14ac:dyDescent="0.25">
      <c r="A75" s="35"/>
      <c r="B75" s="35"/>
      <c r="C75" s="35"/>
      <c r="D75" s="15"/>
      <c r="E75" s="35"/>
      <c r="F75" s="35"/>
      <c r="G75" s="15"/>
      <c r="H75" s="35"/>
      <c r="I75" s="35"/>
      <c r="J75" s="15"/>
      <c r="K75" s="35"/>
      <c r="L75" s="35"/>
    </row>
    <row r="76" spans="1:12" x14ac:dyDescent="0.25">
      <c r="A76" s="35"/>
      <c r="B76" s="35"/>
      <c r="C76" s="35"/>
      <c r="D76" s="15"/>
      <c r="E76" s="35"/>
      <c r="F76" s="35"/>
      <c r="G76" s="15"/>
      <c r="H76" s="35"/>
      <c r="I76" s="35"/>
      <c r="J76" s="15"/>
      <c r="K76" s="35"/>
      <c r="L76" s="35"/>
    </row>
    <row r="77" spans="1:12" x14ac:dyDescent="0.25">
      <c r="A77" s="35"/>
      <c r="B77" s="35"/>
      <c r="C77" s="35"/>
      <c r="D77" s="15"/>
      <c r="E77" s="35"/>
      <c r="F77" s="35"/>
      <c r="G77" s="15"/>
      <c r="H77" s="35"/>
      <c r="I77" s="35"/>
      <c r="J77" s="15"/>
      <c r="K77" s="35"/>
      <c r="L77" s="35"/>
    </row>
    <row r="78" spans="1:12" x14ac:dyDescent="0.25">
      <c r="A78" s="35"/>
      <c r="B78" s="35"/>
      <c r="C78" s="35"/>
      <c r="D78" s="15"/>
      <c r="E78" s="35"/>
      <c r="F78" s="35"/>
      <c r="G78" s="15"/>
      <c r="H78" s="35"/>
      <c r="I78" s="35"/>
      <c r="J78" s="15"/>
      <c r="K78" s="35"/>
      <c r="L78" s="35"/>
    </row>
    <row r="79" spans="1:12" x14ac:dyDescent="0.25">
      <c r="A79" s="35"/>
      <c r="B79" s="35"/>
      <c r="C79" s="35"/>
      <c r="D79" s="15"/>
      <c r="E79" s="35"/>
      <c r="F79" s="35"/>
      <c r="G79" s="15"/>
      <c r="H79" s="35"/>
      <c r="I79" s="35"/>
      <c r="J79" s="15"/>
      <c r="K79" s="35"/>
      <c r="L79" s="35"/>
    </row>
    <row r="80" spans="1:12" x14ac:dyDescent="0.25">
      <c r="A80" s="35"/>
      <c r="B80" s="35"/>
      <c r="C80" s="35"/>
      <c r="D80" s="15"/>
      <c r="E80" s="35"/>
      <c r="F80" s="35"/>
      <c r="G80" s="15"/>
      <c r="H80" s="35"/>
      <c r="I80" s="35"/>
      <c r="J80" s="15"/>
      <c r="K80" s="35"/>
      <c r="L80" s="35"/>
    </row>
    <row r="81" spans="1:12" x14ac:dyDescent="0.25">
      <c r="A81" s="35"/>
      <c r="B81" s="35"/>
      <c r="C81" s="35"/>
      <c r="D81" s="15"/>
      <c r="E81" s="35"/>
      <c r="F81" s="35"/>
      <c r="G81" s="15"/>
      <c r="H81" s="35"/>
      <c r="I81" s="35"/>
      <c r="J81" s="15"/>
      <c r="K81" s="35"/>
      <c r="L81" s="35"/>
    </row>
    <row r="82" spans="1:12" x14ac:dyDescent="0.25">
      <c r="A82" s="35"/>
      <c r="B82" s="35"/>
      <c r="C82" s="35"/>
      <c r="D82" s="15"/>
      <c r="E82" s="35"/>
      <c r="F82" s="35"/>
      <c r="G82" s="15"/>
      <c r="H82" s="35"/>
      <c r="I82" s="35"/>
      <c r="J82" s="15"/>
      <c r="K82" s="35"/>
      <c r="L82" s="35"/>
    </row>
    <row r="83" spans="1:12" x14ac:dyDescent="0.25">
      <c r="A83" s="35"/>
      <c r="B83" s="35"/>
      <c r="C83" s="35"/>
      <c r="D83" s="15"/>
      <c r="E83" s="35"/>
      <c r="F83" s="35"/>
      <c r="G83" s="15"/>
      <c r="H83" s="35"/>
      <c r="I83" s="35"/>
      <c r="J83" s="15"/>
      <c r="K83" s="35"/>
      <c r="L83" s="35"/>
    </row>
    <row r="84" spans="1:12" x14ac:dyDescent="0.25">
      <c r="A84" s="35"/>
      <c r="B84" s="35"/>
      <c r="C84" s="35"/>
      <c r="D84" s="15"/>
      <c r="E84" s="35"/>
      <c r="F84" s="35"/>
      <c r="G84" s="15"/>
      <c r="H84" s="35"/>
      <c r="I84" s="35"/>
      <c r="J84" s="15"/>
      <c r="K84" s="35"/>
      <c r="L84" s="35"/>
    </row>
    <row r="85" spans="1:12" x14ac:dyDescent="0.25">
      <c r="A85" s="35"/>
      <c r="B85" s="35"/>
      <c r="C85" s="35"/>
      <c r="D85" s="15"/>
      <c r="E85" s="35"/>
      <c r="F85" s="35"/>
      <c r="G85" s="15"/>
      <c r="H85" s="35"/>
      <c r="I85" s="35"/>
      <c r="J85" s="15"/>
      <c r="K85" s="35"/>
      <c r="L85" s="35"/>
    </row>
    <row r="86" spans="1:12" x14ac:dyDescent="0.25">
      <c r="A86" s="35"/>
      <c r="B86" s="35"/>
      <c r="C86" s="35"/>
      <c r="D86" s="15"/>
      <c r="E86" s="35"/>
      <c r="F86" s="35"/>
      <c r="G86" s="15"/>
      <c r="H86" s="35"/>
      <c r="I86" s="35"/>
      <c r="J86" s="15"/>
      <c r="K86" s="35"/>
      <c r="L86" s="35"/>
    </row>
    <row r="87" spans="1:12" x14ac:dyDescent="0.25">
      <c r="A87" s="35"/>
      <c r="B87" s="35"/>
      <c r="C87" s="35"/>
      <c r="D87" s="15"/>
      <c r="E87" s="35"/>
      <c r="F87" s="35"/>
      <c r="G87" s="15"/>
      <c r="H87" s="35"/>
      <c r="I87" s="35"/>
      <c r="J87" s="15"/>
      <c r="K87" s="35"/>
      <c r="L87" s="35"/>
    </row>
    <row r="88" spans="1:12" x14ac:dyDescent="0.25">
      <c r="A88" s="35"/>
      <c r="B88" s="35"/>
      <c r="C88" s="35"/>
      <c r="D88" s="15"/>
      <c r="E88" s="35"/>
      <c r="F88" s="35"/>
      <c r="G88" s="15"/>
      <c r="H88" s="35"/>
      <c r="I88" s="35"/>
      <c r="J88" s="15"/>
      <c r="K88" s="35"/>
      <c r="L88" s="35"/>
    </row>
    <row r="89" spans="1:12" x14ac:dyDescent="0.25">
      <c r="A89" s="35"/>
      <c r="B89" s="35"/>
      <c r="C89" s="35"/>
      <c r="D89" s="15"/>
      <c r="E89" s="35"/>
      <c r="F89" s="35"/>
      <c r="G89" s="15"/>
      <c r="H89" s="35"/>
      <c r="I89" s="35"/>
      <c r="J89" s="15"/>
      <c r="K89" s="35"/>
      <c r="L89" s="35"/>
    </row>
    <row r="90" spans="1:12" x14ac:dyDescent="0.25">
      <c r="A90" s="35"/>
      <c r="B90" s="35"/>
      <c r="C90" s="35"/>
      <c r="D90" s="15"/>
      <c r="E90" s="35"/>
      <c r="F90" s="35"/>
      <c r="G90" s="15"/>
      <c r="H90" s="35"/>
      <c r="I90" s="35"/>
      <c r="J90" s="15"/>
      <c r="K90" s="35"/>
      <c r="L90" s="35"/>
    </row>
    <row r="91" spans="1:12" s="18" customFormat="1" ht="18.75" x14ac:dyDescent="0.3">
      <c r="A91" s="12"/>
      <c r="B91" s="12" t="str">
        <f>"Carbon Dioxid Footprint"</f>
        <v>Carbon Dioxid Footprint</v>
      </c>
      <c r="C91" s="12"/>
      <c r="D91" s="13" t="str">
        <f>$D$13</f>
        <v>Electric Vehicle</v>
      </c>
      <c r="E91" s="11"/>
      <c r="F91" s="11"/>
      <c r="G91" s="13"/>
      <c r="H91" s="11"/>
      <c r="I91" s="11"/>
      <c r="J91" s="13" t="str">
        <f>$J$13&amp;" *"</f>
        <v>Combustion Engine *</v>
      </c>
      <c r="K91" s="12"/>
      <c r="L91" s="12"/>
    </row>
    <row r="92" spans="1:12" x14ac:dyDescent="0.25">
      <c r="A92" s="9"/>
      <c r="B92" s="9" t="s">
        <v>35</v>
      </c>
      <c r="C92" s="9"/>
      <c r="D92" s="47">
        <v>100</v>
      </c>
      <c r="E92" s="9" t="str">
        <f>$K$10&amp;" CO₂/Wh"</f>
        <v>g CO₂/Wh</v>
      </c>
      <c r="F92" s="9"/>
      <c r="G92" s="8"/>
      <c r="H92" s="9"/>
      <c r="I92" s="9"/>
      <c r="J92" s="8"/>
      <c r="K92" s="9"/>
      <c r="L92" s="9"/>
    </row>
    <row r="93" spans="1:12" x14ac:dyDescent="0.25">
      <c r="A93" s="9"/>
      <c r="B93" s="9" t="s">
        <v>38</v>
      </c>
      <c r="C93" s="9"/>
      <c r="D93" s="8">
        <f>D15*1000*D92</f>
        <v>6700000</v>
      </c>
      <c r="E93" s="9" t="str">
        <f>$K$10&amp;" CO₂"</f>
        <v>g CO₂</v>
      </c>
      <c r="F93" s="9"/>
      <c r="G93" s="8"/>
      <c r="H93" s="9"/>
      <c r="I93" s="9"/>
      <c r="J93" s="8"/>
      <c r="K93" s="9"/>
      <c r="L93" s="9"/>
    </row>
    <row r="94" spans="1:12" x14ac:dyDescent="0.25">
      <c r="A94" s="9"/>
      <c r="B94" s="9"/>
      <c r="C94" s="9"/>
      <c r="D94" s="8"/>
      <c r="E94" s="9"/>
      <c r="F94" s="9"/>
      <c r="G94" s="8"/>
      <c r="H94" s="9"/>
      <c r="I94" s="9"/>
      <c r="J94" s="8"/>
      <c r="K94" s="9"/>
      <c r="L94" s="9"/>
    </row>
    <row r="95" spans="1:12" x14ac:dyDescent="0.25">
      <c r="A95" s="9"/>
      <c r="B95" s="9" t="s">
        <v>39</v>
      </c>
      <c r="C95" s="9"/>
      <c r="D95" s="46">
        <v>450</v>
      </c>
      <c r="E95" s="9" t="str">
        <f>$K$10&amp;" CO₂/kWh"</f>
        <v>g CO₂/kWh</v>
      </c>
      <c r="F95" s="9"/>
      <c r="G95" s="8"/>
      <c r="H95" s="9"/>
      <c r="I95" s="9"/>
      <c r="J95" s="46">
        <v>20</v>
      </c>
      <c r="K95" s="9" t="s">
        <v>18</v>
      </c>
      <c r="L95" s="9"/>
    </row>
    <row r="96" spans="1:12" x14ac:dyDescent="0.25">
      <c r="A96" s="9"/>
      <c r="B96" s="9" t="s">
        <v>58</v>
      </c>
      <c r="C96" s="9"/>
      <c r="D96" s="46">
        <v>0</v>
      </c>
      <c r="E96" s="9" t="str">
        <f>$K$10&amp;" CO₂/kWh"</f>
        <v>g CO₂/kWh</v>
      </c>
      <c r="F96" s="9"/>
      <c r="G96" s="8"/>
      <c r="H96" s="9"/>
      <c r="I96" s="9"/>
      <c r="J96" s="46">
        <v>2640</v>
      </c>
      <c r="K96" s="9" t="str">
        <f>$K$10&amp;"/"&amp;$K$8</f>
        <v>g/l</v>
      </c>
      <c r="L96" s="9"/>
    </row>
    <row r="97" spans="1:12" s="10" customFormat="1" x14ac:dyDescent="0.25">
      <c r="A97" s="20"/>
      <c r="B97" s="20" t="s">
        <v>40</v>
      </c>
      <c r="C97" s="20"/>
      <c r="D97" s="21">
        <f>D36*(D95+D96)/100</f>
        <v>69.75</v>
      </c>
      <c r="E97" s="20" t="str">
        <f>$K$10&amp;" CO₂/"&amp;$K$9</f>
        <v>g CO₂/km</v>
      </c>
      <c r="F97" s="20"/>
      <c r="G97" s="21"/>
      <c r="H97" s="20"/>
      <c r="I97" s="20"/>
      <c r="J97" s="21">
        <f>(J36*J96)*(1+J95/100)/100</f>
        <v>158.4</v>
      </c>
      <c r="K97" s="20" t="str">
        <f>$K$10&amp;" CO₂/"&amp;$K$9</f>
        <v>g CO₂/km</v>
      </c>
      <c r="L97" s="20"/>
    </row>
    <row r="98" spans="1:12" x14ac:dyDescent="0.25">
      <c r="A98" s="9"/>
      <c r="B98" s="9"/>
      <c r="C98" s="9"/>
      <c r="D98" s="8"/>
      <c r="E98" s="9"/>
      <c r="F98" s="9"/>
      <c r="G98" s="8"/>
      <c r="H98" s="9"/>
      <c r="I98" s="9"/>
      <c r="J98" s="8"/>
      <c r="K98" s="9"/>
      <c r="L98" s="9"/>
    </row>
    <row r="99" spans="1:12" x14ac:dyDescent="0.25">
      <c r="A99" s="9"/>
      <c r="B99" s="22" t="s">
        <v>31</v>
      </c>
      <c r="C99" s="23">
        <v>0</v>
      </c>
      <c r="D99" s="36">
        <f>D93</f>
        <v>6700000</v>
      </c>
      <c r="E99" s="23" t="str">
        <f t="shared" ref="E99:E109" si="4">$K$10&amp;" CO₂"</f>
        <v>g CO₂</v>
      </c>
      <c r="F99" s="23"/>
      <c r="G99" s="24"/>
      <c r="H99" s="23"/>
      <c r="I99" s="23"/>
      <c r="J99" s="36">
        <v>0</v>
      </c>
      <c r="K99" s="23" t="str">
        <f>$K$10&amp;" CO₂"</f>
        <v>g CO₂</v>
      </c>
      <c r="L99" s="9"/>
    </row>
    <row r="100" spans="1:12" x14ac:dyDescent="0.25">
      <c r="A100" s="9"/>
      <c r="B100" s="25" t="s">
        <v>32</v>
      </c>
      <c r="C100" s="26">
        <v>1</v>
      </c>
      <c r="D100" s="37">
        <f t="shared" ref="D100:D109" si="5">$D$99+$G$34*C100*$D$97</f>
        <v>8792500</v>
      </c>
      <c r="E100" s="26" t="str">
        <f t="shared" si="4"/>
        <v>g CO₂</v>
      </c>
      <c r="F100" s="26"/>
      <c r="G100" s="27"/>
      <c r="H100" s="26"/>
      <c r="I100" s="26"/>
      <c r="J100" s="37">
        <f t="shared" ref="J100:J109" si="6">$J$99+C100*$G$34*$J$97</f>
        <v>4752000</v>
      </c>
      <c r="K100" s="26" t="str">
        <f t="shared" ref="K100:K109" si="7">$K$10&amp;" CO₂"</f>
        <v>g CO₂</v>
      </c>
      <c r="L100" s="9"/>
    </row>
    <row r="101" spans="1:12" x14ac:dyDescent="0.25">
      <c r="A101" s="9"/>
      <c r="B101" s="25" t="s">
        <v>32</v>
      </c>
      <c r="C101" s="26">
        <v>2</v>
      </c>
      <c r="D101" s="37">
        <f t="shared" si="5"/>
        <v>10885000</v>
      </c>
      <c r="E101" s="26" t="str">
        <f t="shared" si="4"/>
        <v>g CO₂</v>
      </c>
      <c r="F101" s="26"/>
      <c r="G101" s="27"/>
      <c r="H101" s="26"/>
      <c r="I101" s="26"/>
      <c r="J101" s="37">
        <f t="shared" si="6"/>
        <v>9504000</v>
      </c>
      <c r="K101" s="26" t="str">
        <f t="shared" si="7"/>
        <v>g CO₂</v>
      </c>
      <c r="L101" s="9"/>
    </row>
    <row r="102" spans="1:12" x14ac:dyDescent="0.25">
      <c r="A102" s="9"/>
      <c r="B102" s="25" t="s">
        <v>32</v>
      </c>
      <c r="C102" s="26">
        <v>3</v>
      </c>
      <c r="D102" s="37">
        <f t="shared" si="5"/>
        <v>12977500</v>
      </c>
      <c r="E102" s="26" t="str">
        <f t="shared" si="4"/>
        <v>g CO₂</v>
      </c>
      <c r="F102" s="26"/>
      <c r="G102" s="27"/>
      <c r="H102" s="26"/>
      <c r="I102" s="26"/>
      <c r="J102" s="37">
        <f t="shared" si="6"/>
        <v>14256000</v>
      </c>
      <c r="K102" s="26" t="str">
        <f t="shared" si="7"/>
        <v>g CO₂</v>
      </c>
      <c r="L102" s="9"/>
    </row>
    <row r="103" spans="1:12" x14ac:dyDescent="0.25">
      <c r="A103" s="9"/>
      <c r="B103" s="25" t="s">
        <v>32</v>
      </c>
      <c r="C103" s="26">
        <v>4</v>
      </c>
      <c r="D103" s="37">
        <f t="shared" si="5"/>
        <v>15070000</v>
      </c>
      <c r="E103" s="26" t="str">
        <f t="shared" si="4"/>
        <v>g CO₂</v>
      </c>
      <c r="F103" s="26"/>
      <c r="G103" s="27"/>
      <c r="H103" s="26"/>
      <c r="I103" s="26"/>
      <c r="J103" s="37">
        <f t="shared" si="6"/>
        <v>19008000</v>
      </c>
      <c r="K103" s="26" t="str">
        <f t="shared" si="7"/>
        <v>g CO₂</v>
      </c>
      <c r="L103" s="9"/>
    </row>
    <row r="104" spans="1:12" x14ac:dyDescent="0.25">
      <c r="A104" s="9"/>
      <c r="B104" s="25" t="s">
        <v>32</v>
      </c>
      <c r="C104" s="26">
        <v>5</v>
      </c>
      <c r="D104" s="37">
        <f t="shared" si="5"/>
        <v>17162500</v>
      </c>
      <c r="E104" s="26" t="str">
        <f t="shared" si="4"/>
        <v>g CO₂</v>
      </c>
      <c r="F104" s="26"/>
      <c r="G104" s="27"/>
      <c r="H104" s="26"/>
      <c r="I104" s="26"/>
      <c r="J104" s="37">
        <f t="shared" si="6"/>
        <v>23760000</v>
      </c>
      <c r="K104" s="26" t="str">
        <f t="shared" si="7"/>
        <v>g CO₂</v>
      </c>
      <c r="L104" s="9"/>
    </row>
    <row r="105" spans="1:12" x14ac:dyDescent="0.25">
      <c r="A105" s="9"/>
      <c r="B105" s="25" t="s">
        <v>32</v>
      </c>
      <c r="C105" s="26">
        <v>6</v>
      </c>
      <c r="D105" s="37">
        <f t="shared" si="5"/>
        <v>19255000</v>
      </c>
      <c r="E105" s="26" t="str">
        <f t="shared" si="4"/>
        <v>g CO₂</v>
      </c>
      <c r="F105" s="26"/>
      <c r="G105" s="27"/>
      <c r="H105" s="26"/>
      <c r="I105" s="26"/>
      <c r="J105" s="37">
        <f t="shared" si="6"/>
        <v>28512000</v>
      </c>
      <c r="K105" s="26" t="str">
        <f t="shared" si="7"/>
        <v>g CO₂</v>
      </c>
      <c r="L105" s="9"/>
    </row>
    <row r="106" spans="1:12" x14ac:dyDescent="0.25">
      <c r="A106" s="9"/>
      <c r="B106" s="25" t="s">
        <v>32</v>
      </c>
      <c r="C106" s="26">
        <v>7</v>
      </c>
      <c r="D106" s="37">
        <f t="shared" si="5"/>
        <v>21347500</v>
      </c>
      <c r="E106" s="26" t="str">
        <f t="shared" si="4"/>
        <v>g CO₂</v>
      </c>
      <c r="F106" s="26"/>
      <c r="G106" s="27"/>
      <c r="H106" s="26"/>
      <c r="I106" s="26"/>
      <c r="J106" s="37">
        <f t="shared" si="6"/>
        <v>33264000</v>
      </c>
      <c r="K106" s="26" t="str">
        <f t="shared" si="7"/>
        <v>g CO₂</v>
      </c>
      <c r="L106" s="9"/>
    </row>
    <row r="107" spans="1:12" x14ac:dyDescent="0.25">
      <c r="A107" s="9"/>
      <c r="B107" s="25" t="s">
        <v>32</v>
      </c>
      <c r="C107" s="26">
        <v>8</v>
      </c>
      <c r="D107" s="37">
        <f t="shared" si="5"/>
        <v>23440000</v>
      </c>
      <c r="E107" s="26" t="str">
        <f t="shared" si="4"/>
        <v>g CO₂</v>
      </c>
      <c r="F107" s="26"/>
      <c r="G107" s="27"/>
      <c r="H107" s="26"/>
      <c r="I107" s="26"/>
      <c r="J107" s="37">
        <f t="shared" si="6"/>
        <v>38016000</v>
      </c>
      <c r="K107" s="26" t="str">
        <f t="shared" si="7"/>
        <v>g CO₂</v>
      </c>
      <c r="L107" s="9"/>
    </row>
    <row r="108" spans="1:12" x14ac:dyDescent="0.25">
      <c r="A108" s="9"/>
      <c r="B108" s="25" t="s">
        <v>32</v>
      </c>
      <c r="C108" s="26">
        <v>9</v>
      </c>
      <c r="D108" s="37">
        <f t="shared" si="5"/>
        <v>25532500</v>
      </c>
      <c r="E108" s="26" t="str">
        <f t="shared" si="4"/>
        <v>g CO₂</v>
      </c>
      <c r="F108" s="26"/>
      <c r="G108" s="27"/>
      <c r="H108" s="26"/>
      <c r="I108" s="26"/>
      <c r="J108" s="37">
        <f t="shared" si="6"/>
        <v>42768000</v>
      </c>
      <c r="K108" s="26" t="str">
        <f t="shared" si="7"/>
        <v>g CO₂</v>
      </c>
      <c r="L108" s="9"/>
    </row>
    <row r="109" spans="1:12" x14ac:dyDescent="0.25">
      <c r="A109" s="9"/>
      <c r="B109" s="25" t="s">
        <v>32</v>
      </c>
      <c r="C109" s="26">
        <v>10</v>
      </c>
      <c r="D109" s="37">
        <f t="shared" si="5"/>
        <v>27625000</v>
      </c>
      <c r="E109" s="26" t="str">
        <f t="shared" si="4"/>
        <v>g CO₂</v>
      </c>
      <c r="F109" s="26"/>
      <c r="G109" s="27"/>
      <c r="H109" s="26"/>
      <c r="I109" s="26"/>
      <c r="J109" s="37">
        <f t="shared" si="6"/>
        <v>47520000</v>
      </c>
      <c r="K109" s="26" t="str">
        <f t="shared" si="7"/>
        <v>g CO₂</v>
      </c>
      <c r="L109" s="9"/>
    </row>
    <row r="110" spans="1:12" s="40" customFormat="1" ht="18.75" customHeight="1" x14ac:dyDescent="0.2">
      <c r="A110" s="38"/>
      <c r="B110" s="38" t="s">
        <v>64</v>
      </c>
      <c r="C110" s="38"/>
      <c r="D110" s="39"/>
      <c r="E110" s="38"/>
      <c r="F110" s="38"/>
      <c r="G110" s="39"/>
      <c r="H110" s="38"/>
      <c r="I110" s="38"/>
      <c r="J110" s="39"/>
      <c r="K110" s="38"/>
      <c r="L110" s="38"/>
    </row>
    <row r="111" spans="1:12" s="14" customFormat="1" ht="18.75" x14ac:dyDescent="0.3">
      <c r="A111" s="31"/>
      <c r="B111" s="32" t="s">
        <v>41</v>
      </c>
      <c r="C111" s="33" t="str">
        <f>$G$21&amp;" years:"</f>
        <v>5 years:</v>
      </c>
      <c r="D111" s="34">
        <f>$J$99+$G$21*$G$34*$J$97-($D$99+$G$34*$G$21*$D$97)</f>
        <v>6597500</v>
      </c>
      <c r="E111" s="16" t="str">
        <f>$K$10&amp;" CO₂"</f>
        <v>g CO₂</v>
      </c>
      <c r="F111" s="31"/>
      <c r="G111" s="33" t="s">
        <v>67</v>
      </c>
      <c r="H111" s="31"/>
      <c r="I111" s="31"/>
      <c r="J111" s="17">
        <f>D93/G34/(J97-D97)</f>
        <v>2.5192705395751083</v>
      </c>
      <c r="K111" s="16" t="s">
        <v>65</v>
      </c>
      <c r="L111" s="31"/>
    </row>
    <row r="112" spans="1:12" x14ac:dyDescent="0.25">
      <c r="A112" s="35"/>
      <c r="B112" s="35"/>
      <c r="C112" s="35"/>
      <c r="D112" s="15"/>
      <c r="E112" s="35"/>
      <c r="F112" s="35"/>
      <c r="G112" s="15"/>
      <c r="H112" s="35"/>
      <c r="I112" s="35"/>
      <c r="J112" s="15"/>
      <c r="K112" s="35"/>
      <c r="L112" s="35"/>
    </row>
    <row r="132" spans="5:5" ht="15.75" x14ac:dyDescent="0.25">
      <c r="E132" s="41" t="s">
        <v>61</v>
      </c>
    </row>
  </sheetData>
  <sheetProtection algorithmName="SHA-512" hashValue="Rwkb8aSfmZWsZ6y18gTVxsM5339Ui2kvsnS0dAQMPPgPtUup7SNjwzdl30ixDR7je6OSVHe5NFrzV7hU6jCiAw==" saltValue="PQmzfuHgOUy2E/Jm5u5gKw==" spinCount="100000" sheet="1" objects="1" scenarios="1" selectLockedCells="1"/>
  <protectedRanges>
    <protectedRange sqref="K7:K10 D14:D15 J14 D19:D20 G21 J19:J20 D26:D27 D29:D30 J26 J29:J30 G34 D35:D37 J35:J36 J38:J39 D44:D45 D48:D49 D52 J44:J45 J48:J49 J52 D92 D95:D96 J95:J96 D22 J22" name="Input English"/>
  </protectedRanges>
  <conditionalFormatting sqref="J99">
    <cfRule type="expression" dxfId="49" priority="17">
      <formula>$J$99&gt;$D$99</formula>
    </cfRule>
    <cfRule type="expression" dxfId="48" priority="23">
      <formula>$J$99&gt;$D$99</formula>
    </cfRule>
    <cfRule type="expression" dxfId="47" priority="25">
      <formula>$J$99&gt;$D$99</formula>
    </cfRule>
  </conditionalFormatting>
  <conditionalFormatting sqref="J99:J109">
    <cfRule type="expression" dxfId="46" priority="24">
      <formula>$J$99:$J$109&gt;$D$99:$D$109</formula>
    </cfRule>
  </conditionalFormatting>
  <conditionalFormatting sqref="J109">
    <cfRule type="expression" dxfId="45" priority="22">
      <formula>$J$109&gt;$D$109</formula>
    </cfRule>
  </conditionalFormatting>
  <conditionalFormatting sqref="J108">
    <cfRule type="expression" dxfId="44" priority="21">
      <formula>$J$108&gt;$D$108</formula>
    </cfRule>
  </conditionalFormatting>
  <conditionalFormatting sqref="J107">
    <cfRule type="expression" dxfId="43" priority="20">
      <formula>$J$107&gt;$D$107</formula>
    </cfRule>
  </conditionalFormatting>
  <conditionalFormatting sqref="J106">
    <cfRule type="expression" dxfId="42" priority="19">
      <formula>$J$106&gt;$D$106</formula>
    </cfRule>
  </conditionalFormatting>
  <conditionalFormatting sqref="J105">
    <cfRule type="expression" dxfId="41" priority="18">
      <formula>$J$105&gt;$D$105</formula>
    </cfRule>
  </conditionalFormatting>
  <conditionalFormatting sqref="J100">
    <cfRule type="expression" dxfId="40" priority="16">
      <formula>$J$100&gt;$D$100</formula>
    </cfRule>
  </conditionalFormatting>
  <conditionalFormatting sqref="J101">
    <cfRule type="expression" dxfId="39" priority="15">
      <formula>$J$101&gt;$D$101</formula>
    </cfRule>
  </conditionalFormatting>
  <conditionalFormatting sqref="J102">
    <cfRule type="expression" dxfId="38" priority="14">
      <formula>$J$102&gt;$D$102</formula>
    </cfRule>
  </conditionalFormatting>
  <conditionalFormatting sqref="J103">
    <cfRule type="expression" dxfId="37" priority="13">
      <formula>$J$103&gt;$D$103</formula>
    </cfRule>
  </conditionalFormatting>
  <conditionalFormatting sqref="J104">
    <cfRule type="expression" dxfId="36" priority="12">
      <formula>$J$104&gt;$D$104</formula>
    </cfRule>
  </conditionalFormatting>
  <conditionalFormatting sqref="D99">
    <cfRule type="expression" dxfId="35" priority="11">
      <formula>$D$99&gt;$J$99</formula>
    </cfRule>
  </conditionalFormatting>
  <conditionalFormatting sqref="D100">
    <cfRule type="expression" dxfId="34" priority="10">
      <formula>$D$100&gt;$J$100</formula>
    </cfRule>
  </conditionalFormatting>
  <conditionalFormatting sqref="D101">
    <cfRule type="expression" dxfId="33" priority="9">
      <formula>$D$101&gt;$J$101</formula>
    </cfRule>
  </conditionalFormatting>
  <conditionalFormatting sqref="D102">
    <cfRule type="expression" dxfId="32" priority="8">
      <formula>$D$102&gt;$J$102</formula>
    </cfRule>
  </conditionalFormatting>
  <conditionalFormatting sqref="D103">
    <cfRule type="expression" dxfId="31" priority="7">
      <formula>$D$103&gt;$J$103</formula>
    </cfRule>
  </conditionalFormatting>
  <conditionalFormatting sqref="D104">
    <cfRule type="expression" dxfId="30" priority="6">
      <formula>$D$104&gt;$J$104</formula>
    </cfRule>
  </conditionalFormatting>
  <conditionalFormatting sqref="D105">
    <cfRule type="expression" dxfId="29" priority="5">
      <formula>$D$105&gt;$J$105</formula>
    </cfRule>
  </conditionalFormatting>
  <conditionalFormatting sqref="D106">
    <cfRule type="expression" dxfId="28" priority="4">
      <formula>$D$106&gt;$J$106</formula>
    </cfRule>
  </conditionalFormatting>
  <conditionalFormatting sqref="D107">
    <cfRule type="expression" dxfId="27" priority="3">
      <formula>$D$107&gt;$J$107</formula>
    </cfRule>
  </conditionalFormatting>
  <conditionalFormatting sqref="D108">
    <cfRule type="expression" dxfId="26" priority="2">
      <formula>$D$108&gt;$J$108</formula>
    </cfRule>
  </conditionalFormatting>
  <conditionalFormatting sqref="D109">
    <cfRule type="expression" dxfId="25" priority="1">
      <formula>$D$109&gt;$J$109</formula>
    </cfRule>
  </conditionalFormatting>
  <hyperlinks>
    <hyperlink ref="L1" location="Deutsch!K7" display="Deutsch"/>
  </hyperlinks>
  <pageMargins left="0.70866141732283472" right="0.70866141732283472" top="0.59055118110236227" bottom="0.59055118110236227" header="0.31496062992125984" footer="0.31496062992125984"/>
  <pageSetup paperSize="9" scale="65" fitToHeight="0" orientation="portrait" horizontalDpi="4294967293" verticalDpi="4294967293" r:id="rId1"/>
  <rowBreaks count="1" manualBreakCount="1">
    <brk id="5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tabSelected="1" workbookViewId="0">
      <selection activeCell="D95" sqref="D95"/>
    </sheetView>
  </sheetViews>
  <sheetFormatPr baseColWidth="10" defaultRowHeight="15" x14ac:dyDescent="0.25"/>
  <cols>
    <col min="1" max="1" width="4.5703125" style="1" customWidth="1"/>
    <col min="2" max="2" width="33" style="1" customWidth="1"/>
    <col min="3" max="3" width="9.85546875" style="1" customWidth="1"/>
    <col min="4" max="4" width="18.5703125" style="2" customWidth="1"/>
    <col min="5" max="5" width="8.5703125" style="1" customWidth="1"/>
    <col min="6" max="6" width="4" style="1" customWidth="1"/>
    <col min="7" max="7" width="14.140625" style="2" customWidth="1"/>
    <col min="8" max="8" width="8.5703125" style="1" customWidth="1"/>
    <col min="9" max="9" width="4" style="1" customWidth="1"/>
    <col min="10" max="10" width="18.5703125" style="2" customWidth="1"/>
    <col min="11" max="11" width="8.5703125" style="1" customWidth="1"/>
    <col min="12" max="12" width="4.5703125" style="1" customWidth="1"/>
    <col min="13" max="16384" width="11.42578125" style="1"/>
  </cols>
  <sheetData>
    <row r="1" spans="1:12" x14ac:dyDescent="0.25">
      <c r="L1" s="3" t="s">
        <v>72</v>
      </c>
    </row>
    <row r="2" spans="1:12" ht="21" x14ac:dyDescent="0.35">
      <c r="B2" s="4" t="s">
        <v>73</v>
      </c>
      <c r="H2" s="5" t="str">
        <f>English!H2</f>
        <v>© by eCalc.ch</v>
      </c>
    </row>
    <row r="3" spans="1:12" ht="24" x14ac:dyDescent="0.45">
      <c r="B3" s="4" t="s">
        <v>74</v>
      </c>
      <c r="H3" s="5" t="str">
        <f>English!H3</f>
        <v>V 1.10 - May 2019</v>
      </c>
    </row>
    <row r="4" spans="1:12" ht="15" customHeight="1" x14ac:dyDescent="0.35">
      <c r="B4" s="4"/>
      <c r="H4" s="5"/>
    </row>
    <row r="5" spans="1:12" ht="15" customHeight="1" x14ac:dyDescent="0.35">
      <c r="B5" s="4"/>
      <c r="J5" s="5"/>
    </row>
    <row r="6" spans="1:12" ht="18" x14ac:dyDescent="0.35">
      <c r="B6" s="1" t="s">
        <v>76</v>
      </c>
      <c r="J6" s="6" t="s">
        <v>88</v>
      </c>
      <c r="K6" s="7"/>
      <c r="L6" s="7"/>
    </row>
    <row r="7" spans="1:12" x14ac:dyDescent="0.25">
      <c r="B7" s="1" t="s">
        <v>77</v>
      </c>
      <c r="J7" s="8" t="s">
        <v>89</v>
      </c>
      <c r="K7" s="42" t="s">
        <v>10</v>
      </c>
      <c r="L7" s="9"/>
    </row>
    <row r="8" spans="1:12" x14ac:dyDescent="0.25">
      <c r="B8" s="1" t="s">
        <v>79</v>
      </c>
      <c r="J8" s="8" t="s">
        <v>90</v>
      </c>
      <c r="K8" s="43" t="s">
        <v>4</v>
      </c>
      <c r="L8" s="9"/>
    </row>
    <row r="9" spans="1:12" x14ac:dyDescent="0.25">
      <c r="B9" s="1" t="s">
        <v>80</v>
      </c>
      <c r="J9" s="8" t="s">
        <v>91</v>
      </c>
      <c r="K9" s="43" t="s">
        <v>9</v>
      </c>
      <c r="L9" s="9"/>
    </row>
    <row r="10" spans="1:12" x14ac:dyDescent="0.25">
      <c r="B10" s="1" t="s">
        <v>81</v>
      </c>
      <c r="J10" s="8" t="s">
        <v>92</v>
      </c>
      <c r="K10" s="44" t="s">
        <v>36</v>
      </c>
      <c r="L10" s="9"/>
    </row>
    <row r="11" spans="1:12" ht="18" x14ac:dyDescent="0.35">
      <c r="B11" s="10" t="s">
        <v>82</v>
      </c>
      <c r="J11" s="8"/>
      <c r="K11" s="9"/>
      <c r="L11" s="9"/>
    </row>
    <row r="13" spans="1:12" s="14" customFormat="1" ht="18.75" x14ac:dyDescent="0.3">
      <c r="A13" s="11"/>
      <c r="B13" s="12" t="s">
        <v>83</v>
      </c>
      <c r="C13" s="11"/>
      <c r="D13" s="13" t="s">
        <v>84</v>
      </c>
      <c r="E13" s="11"/>
      <c r="F13" s="11"/>
      <c r="G13" s="13" t="s">
        <v>87</v>
      </c>
      <c r="H13" s="11"/>
      <c r="I13" s="11"/>
      <c r="J13" s="13" t="s">
        <v>85</v>
      </c>
      <c r="K13" s="11"/>
      <c r="L13" s="11"/>
    </row>
    <row r="14" spans="1:12" x14ac:dyDescent="0.25">
      <c r="A14" s="9"/>
      <c r="B14" s="9" t="s">
        <v>86</v>
      </c>
      <c r="C14" s="9"/>
      <c r="D14" s="45" t="s">
        <v>63</v>
      </c>
      <c r="E14" s="9"/>
      <c r="F14" s="9"/>
      <c r="G14" s="8"/>
      <c r="H14" s="9"/>
      <c r="I14" s="9"/>
      <c r="J14" s="45" t="s">
        <v>62</v>
      </c>
      <c r="K14" s="9"/>
      <c r="L14" s="9"/>
    </row>
    <row r="15" spans="1:12" x14ac:dyDescent="0.25">
      <c r="A15" s="9"/>
      <c r="B15" s="9" t="s">
        <v>93</v>
      </c>
      <c r="C15" s="9"/>
      <c r="D15" s="45">
        <v>67</v>
      </c>
      <c r="E15" s="9" t="s">
        <v>34</v>
      </c>
      <c r="F15" s="9"/>
      <c r="G15" s="8"/>
      <c r="H15" s="9"/>
      <c r="I15" s="9"/>
      <c r="J15" s="8"/>
      <c r="K15" s="9"/>
      <c r="L15" s="9"/>
    </row>
    <row r="16" spans="1:12" x14ac:dyDescent="0.25">
      <c r="A16" s="9"/>
      <c r="B16" s="9"/>
      <c r="C16" s="9"/>
      <c r="D16" s="8"/>
      <c r="E16" s="9"/>
      <c r="F16" s="9"/>
      <c r="G16" s="8"/>
      <c r="H16" s="9"/>
      <c r="I16" s="9"/>
      <c r="J16" s="8"/>
      <c r="K16" s="9"/>
      <c r="L16" s="9"/>
    </row>
    <row r="18" spans="1:12" ht="18.75" x14ac:dyDescent="0.3">
      <c r="A18" s="7"/>
      <c r="B18" s="12" t="s">
        <v>94</v>
      </c>
      <c r="C18" s="7"/>
      <c r="D18" s="13" t="str">
        <f>$D$13</f>
        <v>Elektro Auto</v>
      </c>
      <c r="E18" s="11"/>
      <c r="F18" s="11"/>
      <c r="G18" s="13" t="str">
        <f>$G$13</f>
        <v>Beide</v>
      </c>
      <c r="H18" s="11"/>
      <c r="I18" s="11"/>
      <c r="J18" s="13" t="str">
        <f>$J$13</f>
        <v>Verbrenner Auto</v>
      </c>
      <c r="K18" s="7"/>
      <c r="L18" s="7"/>
    </row>
    <row r="19" spans="1:12" x14ac:dyDescent="0.25">
      <c r="A19" s="9"/>
      <c r="B19" s="9" t="s">
        <v>95</v>
      </c>
      <c r="C19" s="9"/>
      <c r="D19" s="46">
        <v>45600</v>
      </c>
      <c r="E19" s="9" t="str">
        <f>$K$7</f>
        <v>€</v>
      </c>
      <c r="F19" s="9"/>
      <c r="G19" s="8"/>
      <c r="H19" s="9"/>
      <c r="I19" s="9"/>
      <c r="J19" s="46">
        <v>31000</v>
      </c>
      <c r="K19" s="9" t="str">
        <f>$K$7</f>
        <v>€</v>
      </c>
      <c r="L19" s="9"/>
    </row>
    <row r="20" spans="1:12" x14ac:dyDescent="0.25">
      <c r="A20" s="9"/>
      <c r="B20" s="9" t="s">
        <v>96</v>
      </c>
      <c r="C20" s="9"/>
      <c r="D20" s="46">
        <v>4000</v>
      </c>
      <c r="E20" s="9" t="str">
        <f>$K$7</f>
        <v>€</v>
      </c>
      <c r="F20" s="9"/>
      <c r="G20" s="8"/>
      <c r="H20" s="9"/>
      <c r="I20" s="9"/>
      <c r="J20" s="46">
        <v>0</v>
      </c>
      <c r="K20" s="9" t="str">
        <f>$K$7</f>
        <v>€</v>
      </c>
      <c r="L20" s="9"/>
    </row>
    <row r="21" spans="1:12" x14ac:dyDescent="0.25">
      <c r="A21" s="9"/>
      <c r="B21" s="9" t="s">
        <v>97</v>
      </c>
      <c r="C21" s="9"/>
      <c r="D21" s="8"/>
      <c r="E21" s="9"/>
      <c r="F21" s="9"/>
      <c r="G21" s="46">
        <v>5</v>
      </c>
      <c r="H21" s="9" t="s">
        <v>99</v>
      </c>
      <c r="I21" s="9"/>
      <c r="J21" s="8"/>
      <c r="K21" s="9"/>
      <c r="L21" s="9"/>
    </row>
    <row r="22" spans="1:12" x14ac:dyDescent="0.25">
      <c r="A22" s="9"/>
      <c r="B22" s="9" t="s">
        <v>98</v>
      </c>
      <c r="C22" s="9"/>
      <c r="D22" s="46">
        <v>22</v>
      </c>
      <c r="E22" s="9" t="str">
        <f>"%/Jahr"</f>
        <v>%/Jahr</v>
      </c>
      <c r="F22" s="9"/>
      <c r="G22" s="8"/>
      <c r="H22" s="9"/>
      <c r="I22" s="9"/>
      <c r="J22" s="46">
        <v>22</v>
      </c>
      <c r="K22" s="9" t="str">
        <f>"%/Jahr"</f>
        <v>%/Jahr</v>
      </c>
      <c r="L22" s="9"/>
    </row>
    <row r="23" spans="1:12" x14ac:dyDescent="0.25">
      <c r="A23" s="9"/>
      <c r="B23" s="9" t="s">
        <v>100</v>
      </c>
      <c r="C23" s="9"/>
      <c r="D23" s="8">
        <f>(D19-D20)*(1-($D$22/100))^$G$21</f>
        <v>12010.645370880002</v>
      </c>
      <c r="E23" s="9" t="str">
        <f>$K$7</f>
        <v>€</v>
      </c>
      <c r="F23" s="9"/>
      <c r="G23" s="8"/>
      <c r="H23" s="9"/>
      <c r="I23" s="9"/>
      <c r="J23" s="8">
        <f>(J19-J20)*(1-($J$22/100))^$G$21</f>
        <v>8950.2405408000013</v>
      </c>
      <c r="K23" s="9" t="str">
        <f>$K$7</f>
        <v>€</v>
      </c>
      <c r="L23" s="9"/>
    </row>
    <row r="25" spans="1:12" s="14" customFormat="1" ht="18.75" x14ac:dyDescent="0.3">
      <c r="A25" s="11"/>
      <c r="B25" s="12" t="s">
        <v>106</v>
      </c>
      <c r="C25" s="11"/>
      <c r="D25" s="13" t="str">
        <f>$D$13</f>
        <v>Elektro Auto</v>
      </c>
      <c r="E25" s="11"/>
      <c r="F25" s="11"/>
      <c r="G25" s="13"/>
      <c r="H25" s="11"/>
      <c r="I25" s="11"/>
      <c r="J25" s="13" t="str">
        <f>$J$13</f>
        <v>Verbrenner Auto</v>
      </c>
      <c r="K25" s="11"/>
      <c r="L25" s="11"/>
    </row>
    <row r="26" spans="1:12" x14ac:dyDescent="0.25">
      <c r="A26" s="9"/>
      <c r="B26" s="9" t="s">
        <v>101</v>
      </c>
      <c r="C26" s="9"/>
      <c r="D26" s="46">
        <v>0</v>
      </c>
      <c r="E26" s="9" t="str">
        <f>$K$7&amp;"/Monat"</f>
        <v>€/Monat</v>
      </c>
      <c r="F26" s="9"/>
      <c r="G26" s="8"/>
      <c r="H26" s="9"/>
      <c r="I26" s="9"/>
      <c r="J26" s="46">
        <v>0</v>
      </c>
      <c r="K26" s="9" t="str">
        <f>$K$7&amp;"/Monat"</f>
        <v>€/Monat</v>
      </c>
      <c r="L26" s="9"/>
    </row>
    <row r="27" spans="1:12" x14ac:dyDescent="0.25">
      <c r="A27" s="9"/>
      <c r="B27" s="9" t="s">
        <v>102</v>
      </c>
      <c r="C27" s="9"/>
      <c r="D27" s="46">
        <v>0</v>
      </c>
      <c r="E27" s="9" t="str">
        <f>$K$7&amp;"/Monat"</f>
        <v>€/Monat</v>
      </c>
      <c r="F27" s="9"/>
      <c r="G27" s="8"/>
      <c r="H27" s="9"/>
      <c r="I27" s="9"/>
      <c r="J27" s="8"/>
      <c r="K27" s="9"/>
      <c r="L27" s="9"/>
    </row>
    <row r="28" spans="1:12" x14ac:dyDescent="0.25">
      <c r="A28" s="9"/>
      <c r="B28" s="9"/>
      <c r="C28" s="9"/>
      <c r="D28" s="8"/>
      <c r="E28" s="9"/>
      <c r="F28" s="9"/>
      <c r="G28" s="8"/>
      <c r="H28" s="9"/>
      <c r="I28" s="9"/>
      <c r="J28" s="8"/>
      <c r="K28" s="9"/>
      <c r="L28" s="9"/>
    </row>
    <row r="29" spans="1:12" x14ac:dyDescent="0.25">
      <c r="A29" s="9"/>
      <c r="B29" s="9" t="s">
        <v>103</v>
      </c>
      <c r="C29" s="9"/>
      <c r="D29" s="46">
        <v>1200</v>
      </c>
      <c r="E29" s="9" t="str">
        <f>$K$7&amp;"/Jahr"</f>
        <v>€/Jahr</v>
      </c>
      <c r="F29" s="9"/>
      <c r="G29" s="8"/>
      <c r="H29" s="9"/>
      <c r="I29" s="9"/>
      <c r="J29" s="46">
        <v>1000</v>
      </c>
      <c r="K29" s="9" t="str">
        <f>$K$7&amp;"/Jahr"</f>
        <v>€/Jahr</v>
      </c>
      <c r="L29" s="9"/>
    </row>
    <row r="30" spans="1:12" x14ac:dyDescent="0.25">
      <c r="A30" s="9"/>
      <c r="B30" s="9" t="s">
        <v>104</v>
      </c>
      <c r="C30" s="9"/>
      <c r="D30" s="46">
        <v>0</v>
      </c>
      <c r="E30" s="9" t="str">
        <f>$K$7&amp;"/Jahr"</f>
        <v>€/Jahr</v>
      </c>
      <c r="F30" s="9"/>
      <c r="G30" s="8"/>
      <c r="H30" s="9"/>
      <c r="I30" s="9"/>
      <c r="J30" s="46">
        <v>500</v>
      </c>
      <c r="K30" s="9" t="str">
        <f>$K$7&amp;"/Jahr"</f>
        <v>€/Jahr</v>
      </c>
      <c r="L30" s="9"/>
    </row>
    <row r="31" spans="1:12" s="18" customFormat="1" ht="18.75" x14ac:dyDescent="0.3">
      <c r="A31" s="16"/>
      <c r="B31" s="16" t="s">
        <v>113</v>
      </c>
      <c r="C31" s="16"/>
      <c r="D31" s="17">
        <f>D30+D29+12*(D26+D27)</f>
        <v>1200</v>
      </c>
      <c r="E31" s="16" t="str">
        <f>$K$7&amp;"/Jahr"</f>
        <v>€/Jahr</v>
      </c>
      <c r="F31" s="16"/>
      <c r="G31" s="17"/>
      <c r="H31" s="16"/>
      <c r="I31" s="16"/>
      <c r="J31" s="17">
        <f>J30+J29+12*J26</f>
        <v>1500</v>
      </c>
      <c r="K31" s="16" t="str">
        <f>$K$7&amp;"/Jahr"</f>
        <v>€/Jahr</v>
      </c>
      <c r="L31" s="16"/>
    </row>
    <row r="33" spans="1:12" ht="18.75" x14ac:dyDescent="0.3">
      <c r="A33" s="7"/>
      <c r="B33" s="12" t="s">
        <v>105</v>
      </c>
      <c r="C33" s="7"/>
      <c r="D33" s="13" t="str">
        <f>$D$13</f>
        <v>Elektro Auto</v>
      </c>
      <c r="E33" s="11"/>
      <c r="F33" s="11"/>
      <c r="G33" s="13" t="str">
        <f>$G$13</f>
        <v>Beide</v>
      </c>
      <c r="H33" s="11"/>
      <c r="I33" s="11"/>
      <c r="J33" s="13" t="str">
        <f>$J$13</f>
        <v>Verbrenner Auto</v>
      </c>
      <c r="K33" s="7"/>
      <c r="L33" s="7"/>
    </row>
    <row r="34" spans="1:12" x14ac:dyDescent="0.25">
      <c r="A34" s="9"/>
      <c r="B34" s="9" t="s">
        <v>107</v>
      </c>
      <c r="C34" s="9"/>
      <c r="D34" s="8"/>
      <c r="E34" s="9"/>
      <c r="F34" s="9"/>
      <c r="G34" s="46">
        <v>30000</v>
      </c>
      <c r="H34" s="9" t="str">
        <f>$K$9&amp;"/Jahr"</f>
        <v>km/Jahr</v>
      </c>
      <c r="I34" s="9"/>
      <c r="J34" s="8"/>
      <c r="K34" s="9"/>
      <c r="L34" s="9"/>
    </row>
    <row r="35" spans="1:12" x14ac:dyDescent="0.25">
      <c r="A35" s="9"/>
      <c r="B35" s="9" t="s">
        <v>108</v>
      </c>
      <c r="C35" s="9"/>
      <c r="D35" s="46">
        <v>0.14000000000000001</v>
      </c>
      <c r="E35" s="9" t="str">
        <f>$K$7&amp;"/kWh"</f>
        <v>€/kWh</v>
      </c>
      <c r="F35" s="9"/>
      <c r="G35" s="8"/>
      <c r="H35" s="9"/>
      <c r="I35" s="9"/>
      <c r="J35" s="46">
        <v>1.5</v>
      </c>
      <c r="K35" s="9" t="str">
        <f>$K$7&amp;"/"&amp;$K$8</f>
        <v>€/l</v>
      </c>
      <c r="L35" s="9"/>
    </row>
    <row r="36" spans="1:12" x14ac:dyDescent="0.25">
      <c r="A36" s="9"/>
      <c r="B36" s="9" t="s">
        <v>109</v>
      </c>
      <c r="C36" s="9"/>
      <c r="D36" s="46">
        <v>15.5</v>
      </c>
      <c r="E36" s="9" t="str">
        <f>"kWh/100"&amp;$K$9</f>
        <v>kWh/100km</v>
      </c>
      <c r="F36" s="9"/>
      <c r="G36" s="8"/>
      <c r="H36" s="9"/>
      <c r="I36" s="9"/>
      <c r="J36" s="46">
        <v>5</v>
      </c>
      <c r="K36" s="9" t="str">
        <f>$K$8&amp;"/100"&amp;$K$9</f>
        <v>l/100km</v>
      </c>
      <c r="L36" s="9"/>
    </row>
    <row r="37" spans="1:12" x14ac:dyDescent="0.25">
      <c r="A37" s="9"/>
      <c r="B37" s="9" t="s">
        <v>110</v>
      </c>
      <c r="C37" s="9"/>
      <c r="D37" s="46">
        <v>10</v>
      </c>
      <c r="E37" s="9" t="s">
        <v>18</v>
      </c>
      <c r="F37" s="9"/>
      <c r="G37" s="8"/>
      <c r="H37" s="9"/>
      <c r="I37" s="9"/>
      <c r="J37" s="19"/>
      <c r="K37" s="9"/>
      <c r="L37" s="9"/>
    </row>
    <row r="38" spans="1:12" x14ac:dyDescent="0.25">
      <c r="A38" s="9"/>
      <c r="B38" s="9" t="s">
        <v>111</v>
      </c>
      <c r="C38" s="9"/>
      <c r="D38" s="8"/>
      <c r="E38" s="9"/>
      <c r="F38" s="9"/>
      <c r="G38" s="8"/>
      <c r="H38" s="9"/>
      <c r="I38" s="9"/>
      <c r="J38" s="46">
        <v>7</v>
      </c>
      <c r="K38" s="9" t="str">
        <f>$K$7&amp;"/"&amp;$K$8</f>
        <v>€/l</v>
      </c>
      <c r="L38" s="9"/>
    </row>
    <row r="39" spans="1:12" x14ac:dyDescent="0.25">
      <c r="A39" s="9"/>
      <c r="B39" s="9" t="s">
        <v>112</v>
      </c>
      <c r="C39" s="9"/>
      <c r="D39" s="8"/>
      <c r="E39" s="9"/>
      <c r="F39" s="9"/>
      <c r="G39" s="8"/>
      <c r="H39" s="9"/>
      <c r="I39" s="9"/>
      <c r="J39" s="46">
        <v>5</v>
      </c>
      <c r="K39" s="9" t="s">
        <v>18</v>
      </c>
      <c r="L39" s="9"/>
    </row>
    <row r="40" spans="1:12" s="18" customFormat="1" ht="18.75" x14ac:dyDescent="0.3">
      <c r="A40" s="16"/>
      <c r="B40" s="16" t="s">
        <v>114</v>
      </c>
      <c r="C40" s="16"/>
      <c r="D40" s="17">
        <f>$G$34/100*D36*D35/(100-D37)*100</f>
        <v>723.33333333333348</v>
      </c>
      <c r="E40" s="16" t="str">
        <f>$K$7&amp;"/Jahr"</f>
        <v>€/Jahr</v>
      </c>
      <c r="F40" s="16"/>
      <c r="G40" s="17"/>
      <c r="H40" s="16"/>
      <c r="I40" s="16"/>
      <c r="J40" s="17">
        <f>$G$34/100*(J36*J35+J36*J39/100*J38)</f>
        <v>2775</v>
      </c>
      <c r="K40" s="16" t="str">
        <f>$K$7&amp;"/Jahr"</f>
        <v>€/Jahr</v>
      </c>
      <c r="L40" s="16"/>
    </row>
    <row r="43" spans="1:12" ht="18.75" x14ac:dyDescent="0.3">
      <c r="A43" s="7"/>
      <c r="B43" s="12" t="s">
        <v>115</v>
      </c>
      <c r="C43" s="7"/>
      <c r="D43" s="13" t="str">
        <f>$D$13</f>
        <v>Elektro Auto</v>
      </c>
      <c r="E43" s="11"/>
      <c r="F43" s="11"/>
      <c r="G43" s="13"/>
      <c r="H43" s="11"/>
      <c r="I43" s="11"/>
      <c r="J43" s="13" t="str">
        <f>$J$13</f>
        <v>Verbrenner Auto</v>
      </c>
      <c r="K43" s="7"/>
      <c r="L43" s="7"/>
    </row>
    <row r="44" spans="1:12" x14ac:dyDescent="0.25">
      <c r="A44" s="9"/>
      <c r="B44" s="9" t="s">
        <v>116</v>
      </c>
      <c r="C44" s="9"/>
      <c r="D44" s="46">
        <v>150000</v>
      </c>
      <c r="E44" s="9" t="str">
        <f>$K$9</f>
        <v>km</v>
      </c>
      <c r="F44" s="9"/>
      <c r="G44" s="8"/>
      <c r="H44" s="9"/>
      <c r="I44" s="9"/>
      <c r="J44" s="46">
        <v>50000</v>
      </c>
      <c r="K44" s="9" t="str">
        <f>$K$9</f>
        <v>km</v>
      </c>
      <c r="L44" s="9"/>
    </row>
    <row r="45" spans="1:12" x14ac:dyDescent="0.25">
      <c r="A45" s="9"/>
      <c r="B45" s="9" t="s">
        <v>117</v>
      </c>
      <c r="C45" s="9"/>
      <c r="D45" s="46">
        <v>1800</v>
      </c>
      <c r="E45" s="9" t="str">
        <f>$K$7</f>
        <v>€</v>
      </c>
      <c r="F45" s="9"/>
      <c r="G45" s="8"/>
      <c r="H45" s="9"/>
      <c r="I45" s="9"/>
      <c r="J45" s="46">
        <v>1800</v>
      </c>
      <c r="K45" s="9" t="str">
        <f>$K$7</f>
        <v>€</v>
      </c>
      <c r="L45" s="9"/>
    </row>
    <row r="46" spans="1:12" s="10" customFormat="1" x14ac:dyDescent="0.25">
      <c r="A46" s="20"/>
      <c r="B46" s="20" t="s">
        <v>118</v>
      </c>
      <c r="C46" s="20"/>
      <c r="D46" s="21">
        <f>D45/D44*$G$34</f>
        <v>360</v>
      </c>
      <c r="E46" s="20" t="str">
        <f>$K$7</f>
        <v>€</v>
      </c>
      <c r="F46" s="20"/>
      <c r="G46" s="21"/>
      <c r="H46" s="20"/>
      <c r="I46" s="20"/>
      <c r="J46" s="21">
        <f>J45/J44*$G$34</f>
        <v>1080</v>
      </c>
      <c r="K46" s="20" t="str">
        <f>$K$7</f>
        <v>€</v>
      </c>
      <c r="L46" s="20"/>
    </row>
    <row r="47" spans="1:12" x14ac:dyDescent="0.25">
      <c r="A47" s="9"/>
      <c r="B47" s="9"/>
      <c r="C47" s="9"/>
      <c r="D47" s="8"/>
      <c r="E47" s="9"/>
      <c r="F47" s="9"/>
      <c r="G47" s="8"/>
      <c r="H47" s="9"/>
      <c r="I47" s="9"/>
      <c r="J47" s="8"/>
      <c r="K47" s="9"/>
      <c r="L47" s="9"/>
    </row>
    <row r="48" spans="1:12" x14ac:dyDescent="0.25">
      <c r="A48" s="9"/>
      <c r="B48" s="9" t="s">
        <v>120</v>
      </c>
      <c r="C48" s="9"/>
      <c r="D48" s="46">
        <v>20000</v>
      </c>
      <c r="E48" s="9" t="str">
        <f>$K$9</f>
        <v>km</v>
      </c>
      <c r="F48" s="9"/>
      <c r="G48" s="8"/>
      <c r="H48" s="9"/>
      <c r="I48" s="9"/>
      <c r="J48" s="46">
        <v>25000</v>
      </c>
      <c r="K48" s="9" t="str">
        <f>$K$9</f>
        <v>km</v>
      </c>
      <c r="L48" s="9"/>
    </row>
    <row r="49" spans="1:12" x14ac:dyDescent="0.25">
      <c r="A49" s="9"/>
      <c r="B49" s="9" t="s">
        <v>121</v>
      </c>
      <c r="C49" s="9"/>
      <c r="D49" s="46">
        <v>1200</v>
      </c>
      <c r="E49" s="9" t="str">
        <f>$K$7</f>
        <v>€</v>
      </c>
      <c r="F49" s="9"/>
      <c r="G49" s="8"/>
      <c r="H49" s="9"/>
      <c r="I49" s="9"/>
      <c r="J49" s="46">
        <v>1200</v>
      </c>
      <c r="K49" s="9" t="str">
        <f>$K$7</f>
        <v>€</v>
      </c>
      <c r="L49" s="9"/>
    </row>
    <row r="50" spans="1:12" s="10" customFormat="1" x14ac:dyDescent="0.25">
      <c r="A50" s="20"/>
      <c r="B50" s="20" t="s">
        <v>119</v>
      </c>
      <c r="C50" s="20"/>
      <c r="D50" s="21">
        <f>D49/D48*$G$34</f>
        <v>1800</v>
      </c>
      <c r="E50" s="9" t="str">
        <f>$K$7</f>
        <v>€</v>
      </c>
      <c r="F50" s="20"/>
      <c r="G50" s="21"/>
      <c r="H50" s="20"/>
      <c r="I50" s="20"/>
      <c r="J50" s="21">
        <f>J49/J48*$G$34</f>
        <v>1440</v>
      </c>
      <c r="K50" s="9" t="str">
        <f>$K$7</f>
        <v>€</v>
      </c>
      <c r="L50" s="20"/>
    </row>
    <row r="51" spans="1:12" x14ac:dyDescent="0.25">
      <c r="A51" s="9"/>
      <c r="B51" s="9"/>
      <c r="C51" s="9"/>
      <c r="D51" s="8"/>
      <c r="E51" s="9"/>
      <c r="F51" s="9"/>
      <c r="G51" s="8"/>
      <c r="H51" s="9"/>
      <c r="I51" s="9"/>
      <c r="J51" s="8"/>
      <c r="K51" s="9"/>
      <c r="L51" s="9"/>
    </row>
    <row r="52" spans="1:12" x14ac:dyDescent="0.25">
      <c r="A52" s="9"/>
      <c r="B52" s="9" t="s">
        <v>122</v>
      </c>
      <c r="C52" s="9"/>
      <c r="D52" s="46">
        <v>500</v>
      </c>
      <c r="E52" s="9" t="str">
        <f>$K$7&amp;"/Year"</f>
        <v>€/Year</v>
      </c>
      <c r="F52" s="9"/>
      <c r="G52" s="8"/>
      <c r="H52" s="9"/>
      <c r="I52" s="9"/>
      <c r="J52" s="46">
        <v>1200</v>
      </c>
      <c r="K52" s="9" t="str">
        <f>$K$7&amp;"/Year"</f>
        <v>€/Year</v>
      </c>
      <c r="L52" s="9"/>
    </row>
    <row r="53" spans="1:12" s="18" customFormat="1" ht="18.75" x14ac:dyDescent="0.3">
      <c r="A53" s="16"/>
      <c r="B53" s="16" t="s">
        <v>123</v>
      </c>
      <c r="C53" s="16"/>
      <c r="D53" s="17">
        <f>D46+D50+D52</f>
        <v>2660</v>
      </c>
      <c r="E53" s="16" t="str">
        <f>$K$7&amp;"/Jahr"</f>
        <v>€/Jahr</v>
      </c>
      <c r="F53" s="16"/>
      <c r="G53" s="17"/>
      <c r="H53" s="16"/>
      <c r="I53" s="16"/>
      <c r="J53" s="17">
        <f>J46+J50+J52</f>
        <v>3720</v>
      </c>
      <c r="K53" s="16" t="str">
        <f>$K$7&amp;"/Jahr"</f>
        <v>€/Jahr</v>
      </c>
      <c r="L53" s="16"/>
    </row>
    <row r="55" spans="1:12" s="18" customFormat="1" ht="18.75" x14ac:dyDescent="0.3">
      <c r="A55" s="12"/>
      <c r="B55" s="12" t="s">
        <v>75</v>
      </c>
      <c r="C55" s="12"/>
      <c r="D55" s="13" t="str">
        <f>$D$13</f>
        <v>Elektro Auto</v>
      </c>
      <c r="E55" s="11"/>
      <c r="F55" s="11"/>
      <c r="G55" s="13"/>
      <c r="H55" s="11"/>
      <c r="I55" s="11"/>
      <c r="J55" s="13" t="str">
        <f>$J$13</f>
        <v>Verbrenner Auto</v>
      </c>
      <c r="K55" s="12"/>
      <c r="L55" s="12"/>
    </row>
    <row r="56" spans="1:12" x14ac:dyDescent="0.25">
      <c r="A56" s="9"/>
      <c r="B56" s="22" t="s">
        <v>124</v>
      </c>
      <c r="C56" s="23">
        <v>0</v>
      </c>
      <c r="D56" s="24">
        <f>D19-D20-D23</f>
        <v>29589.354629119996</v>
      </c>
      <c r="E56" s="23" t="str">
        <f>$K$7</f>
        <v>€</v>
      </c>
      <c r="F56" s="23"/>
      <c r="G56" s="24"/>
      <c r="H56" s="23"/>
      <c r="I56" s="23"/>
      <c r="J56" s="24">
        <f>J19-J23</f>
        <v>22049.759459199999</v>
      </c>
      <c r="K56" s="23" t="str">
        <f>$K$7</f>
        <v>€</v>
      </c>
      <c r="L56" s="9"/>
    </row>
    <row r="57" spans="1:12" x14ac:dyDescent="0.25">
      <c r="A57" s="9"/>
      <c r="B57" s="25" t="s">
        <v>125</v>
      </c>
      <c r="C57" s="26">
        <v>1</v>
      </c>
      <c r="D57" s="27">
        <f t="shared" ref="D57:D66" si="0">$D$56+C57*($D$53+$D$40+$D$31)</f>
        <v>34172.687962453332</v>
      </c>
      <c r="E57" s="26" t="str">
        <f>$K$7</f>
        <v>€</v>
      </c>
      <c r="F57" s="26"/>
      <c r="G57" s="27"/>
      <c r="H57" s="26"/>
      <c r="I57" s="26"/>
      <c r="J57" s="27">
        <f t="shared" ref="J57:J66" si="1">$J$56+C57*($J$53+$J$40+$J$31)</f>
        <v>30044.759459199999</v>
      </c>
      <c r="K57" s="26" t="str">
        <f>$K$7</f>
        <v>€</v>
      </c>
      <c r="L57" s="9"/>
    </row>
    <row r="58" spans="1:12" x14ac:dyDescent="0.25">
      <c r="A58" s="9"/>
      <c r="B58" s="25" t="s">
        <v>125</v>
      </c>
      <c r="C58" s="26">
        <v>2</v>
      </c>
      <c r="D58" s="27">
        <f t="shared" si="0"/>
        <v>38756.021295786661</v>
      </c>
      <c r="E58" s="26" t="str">
        <f t="shared" ref="E58:E68" si="2">$K$7</f>
        <v>€</v>
      </c>
      <c r="F58" s="26"/>
      <c r="G58" s="27"/>
      <c r="H58" s="26"/>
      <c r="I58" s="26"/>
      <c r="J58" s="27">
        <f t="shared" si="1"/>
        <v>38039.759459199995</v>
      </c>
      <c r="K58" s="26" t="str">
        <f t="shared" ref="K58:K66" si="3">$K$7</f>
        <v>€</v>
      </c>
      <c r="L58" s="9"/>
    </row>
    <row r="59" spans="1:12" x14ac:dyDescent="0.25">
      <c r="A59" s="9"/>
      <c r="B59" s="25" t="s">
        <v>125</v>
      </c>
      <c r="C59" s="26">
        <v>3</v>
      </c>
      <c r="D59" s="27">
        <f t="shared" si="0"/>
        <v>43339.354629119996</v>
      </c>
      <c r="E59" s="26" t="str">
        <f t="shared" si="2"/>
        <v>€</v>
      </c>
      <c r="F59" s="26"/>
      <c r="G59" s="27"/>
      <c r="H59" s="26"/>
      <c r="I59" s="26"/>
      <c r="J59" s="27">
        <f t="shared" si="1"/>
        <v>46034.759459199995</v>
      </c>
      <c r="K59" s="26" t="str">
        <f t="shared" si="3"/>
        <v>€</v>
      </c>
      <c r="L59" s="9"/>
    </row>
    <row r="60" spans="1:12" x14ac:dyDescent="0.25">
      <c r="A60" s="9"/>
      <c r="B60" s="25" t="s">
        <v>125</v>
      </c>
      <c r="C60" s="26">
        <v>4</v>
      </c>
      <c r="D60" s="27">
        <f t="shared" si="0"/>
        <v>47922.687962453332</v>
      </c>
      <c r="E60" s="26" t="str">
        <f t="shared" si="2"/>
        <v>€</v>
      </c>
      <c r="F60" s="26"/>
      <c r="G60" s="27"/>
      <c r="H60" s="26"/>
      <c r="I60" s="26"/>
      <c r="J60" s="27">
        <f t="shared" si="1"/>
        <v>54029.759459199995</v>
      </c>
      <c r="K60" s="26" t="str">
        <f t="shared" si="3"/>
        <v>€</v>
      </c>
      <c r="L60" s="9"/>
    </row>
    <row r="61" spans="1:12" x14ac:dyDescent="0.25">
      <c r="A61" s="9"/>
      <c r="B61" s="25" t="s">
        <v>125</v>
      </c>
      <c r="C61" s="26">
        <v>5</v>
      </c>
      <c r="D61" s="27">
        <f t="shared" si="0"/>
        <v>52506.021295786668</v>
      </c>
      <c r="E61" s="26" t="str">
        <f t="shared" si="2"/>
        <v>€</v>
      </c>
      <c r="F61" s="26"/>
      <c r="G61" s="27"/>
      <c r="H61" s="26"/>
      <c r="I61" s="26"/>
      <c r="J61" s="27">
        <f t="shared" si="1"/>
        <v>62024.759459199995</v>
      </c>
      <c r="K61" s="26" t="str">
        <f t="shared" si="3"/>
        <v>€</v>
      </c>
      <c r="L61" s="9"/>
    </row>
    <row r="62" spans="1:12" x14ac:dyDescent="0.25">
      <c r="A62" s="9"/>
      <c r="B62" s="25" t="s">
        <v>125</v>
      </c>
      <c r="C62" s="26">
        <v>6</v>
      </c>
      <c r="D62" s="27">
        <f t="shared" si="0"/>
        <v>57089.354629120004</v>
      </c>
      <c r="E62" s="26" t="str">
        <f t="shared" si="2"/>
        <v>€</v>
      </c>
      <c r="F62" s="26"/>
      <c r="G62" s="27"/>
      <c r="H62" s="26"/>
      <c r="I62" s="26"/>
      <c r="J62" s="27">
        <f t="shared" si="1"/>
        <v>70019.759459199995</v>
      </c>
      <c r="K62" s="26" t="str">
        <f t="shared" si="3"/>
        <v>€</v>
      </c>
      <c r="L62" s="9"/>
    </row>
    <row r="63" spans="1:12" x14ac:dyDescent="0.25">
      <c r="A63" s="9"/>
      <c r="B63" s="25" t="s">
        <v>125</v>
      </c>
      <c r="C63" s="26">
        <v>7</v>
      </c>
      <c r="D63" s="27">
        <f t="shared" si="0"/>
        <v>61672.687962453332</v>
      </c>
      <c r="E63" s="26" t="str">
        <f t="shared" si="2"/>
        <v>€</v>
      </c>
      <c r="F63" s="26"/>
      <c r="G63" s="27"/>
      <c r="H63" s="26"/>
      <c r="I63" s="26"/>
      <c r="J63" s="27">
        <f t="shared" si="1"/>
        <v>78014.759459199995</v>
      </c>
      <c r="K63" s="26" t="str">
        <f t="shared" si="3"/>
        <v>€</v>
      </c>
      <c r="L63" s="9"/>
    </row>
    <row r="64" spans="1:12" x14ac:dyDescent="0.25">
      <c r="A64" s="9"/>
      <c r="B64" s="25" t="s">
        <v>125</v>
      </c>
      <c r="C64" s="26">
        <v>8</v>
      </c>
      <c r="D64" s="27">
        <f t="shared" si="0"/>
        <v>66256.021295786661</v>
      </c>
      <c r="E64" s="26" t="str">
        <f t="shared" si="2"/>
        <v>€</v>
      </c>
      <c r="F64" s="26"/>
      <c r="G64" s="27"/>
      <c r="H64" s="26"/>
      <c r="I64" s="26"/>
      <c r="J64" s="27">
        <f t="shared" si="1"/>
        <v>86009.759459199995</v>
      </c>
      <c r="K64" s="26" t="str">
        <f t="shared" si="3"/>
        <v>€</v>
      </c>
      <c r="L64" s="9"/>
    </row>
    <row r="65" spans="1:12" x14ac:dyDescent="0.25">
      <c r="A65" s="9"/>
      <c r="B65" s="25" t="s">
        <v>125</v>
      </c>
      <c r="C65" s="26">
        <v>9</v>
      </c>
      <c r="D65" s="27">
        <f t="shared" si="0"/>
        <v>70839.354629120004</v>
      </c>
      <c r="E65" s="26" t="str">
        <f t="shared" si="2"/>
        <v>€</v>
      </c>
      <c r="F65" s="26"/>
      <c r="G65" s="27"/>
      <c r="H65" s="26"/>
      <c r="I65" s="26"/>
      <c r="J65" s="27">
        <f t="shared" si="1"/>
        <v>94004.759459199995</v>
      </c>
      <c r="K65" s="26" t="str">
        <f t="shared" si="3"/>
        <v>€</v>
      </c>
      <c r="L65" s="9"/>
    </row>
    <row r="66" spans="1:12" x14ac:dyDescent="0.25">
      <c r="A66" s="9"/>
      <c r="B66" s="25" t="s">
        <v>125</v>
      </c>
      <c r="C66" s="26">
        <v>10</v>
      </c>
      <c r="D66" s="27">
        <f t="shared" si="0"/>
        <v>75422.687962453347</v>
      </c>
      <c r="E66" s="26" t="str">
        <f t="shared" si="2"/>
        <v>€</v>
      </c>
      <c r="F66" s="26"/>
      <c r="G66" s="27"/>
      <c r="H66" s="26"/>
      <c r="I66" s="26"/>
      <c r="J66" s="27">
        <f t="shared" si="1"/>
        <v>101999.7594592</v>
      </c>
      <c r="K66" s="26" t="str">
        <f t="shared" si="3"/>
        <v>€</v>
      </c>
      <c r="L66" s="9"/>
    </row>
    <row r="67" spans="1:12" x14ac:dyDescent="0.25">
      <c r="A67" s="9"/>
      <c r="B67" s="28"/>
      <c r="C67" s="29"/>
      <c r="D67" s="30"/>
      <c r="E67" s="29"/>
      <c r="F67" s="29"/>
      <c r="G67" s="30"/>
      <c r="H67" s="29"/>
      <c r="I67" s="29"/>
      <c r="J67" s="30"/>
      <c r="K67" s="29"/>
      <c r="L67" s="9"/>
    </row>
    <row r="68" spans="1:12" s="14" customFormat="1" ht="18.75" x14ac:dyDescent="0.3">
      <c r="A68" s="31"/>
      <c r="B68" s="32" t="s">
        <v>126</v>
      </c>
      <c r="C68" s="33" t="str">
        <f>$G$21&amp;" Jahren:"</f>
        <v>5 Jahren:</v>
      </c>
      <c r="D68" s="34">
        <f>J56-D56+$G$21*(J53-D53+J40-D40+J31-D31)</f>
        <v>9518.7381634133308</v>
      </c>
      <c r="E68" s="16" t="str">
        <f t="shared" si="2"/>
        <v>€</v>
      </c>
      <c r="F68" s="31"/>
      <c r="G68" s="33" t="s">
        <v>127</v>
      </c>
      <c r="H68" s="31"/>
      <c r="I68" s="31"/>
      <c r="J68" s="17">
        <f>((D19-D20-D23)-(J19-J20-J23))/(J31-D31+J40-D40+J53-D53)</f>
        <v>2.2099448470698579</v>
      </c>
      <c r="K68" s="16" t="s">
        <v>137</v>
      </c>
      <c r="L68" s="31"/>
    </row>
    <row r="69" spans="1:12" x14ac:dyDescent="0.25">
      <c r="A69" s="35"/>
      <c r="B69" s="35"/>
      <c r="C69" s="35"/>
      <c r="D69" s="15"/>
      <c r="E69" s="35"/>
      <c r="F69" s="35"/>
      <c r="G69" s="15"/>
      <c r="H69" s="35"/>
      <c r="I69" s="35"/>
      <c r="J69" s="15"/>
      <c r="K69" s="35"/>
      <c r="L69" s="35"/>
    </row>
    <row r="70" spans="1:12" x14ac:dyDescent="0.25">
      <c r="A70" s="35"/>
      <c r="B70" s="35"/>
      <c r="C70" s="35"/>
      <c r="D70" s="15"/>
      <c r="E70" s="35"/>
      <c r="F70" s="35"/>
      <c r="G70" s="15"/>
      <c r="H70" s="35"/>
      <c r="I70" s="35"/>
      <c r="J70" s="15"/>
      <c r="K70" s="35"/>
      <c r="L70" s="35"/>
    </row>
    <row r="71" spans="1:12" x14ac:dyDescent="0.25">
      <c r="A71" s="35"/>
      <c r="B71" s="35"/>
      <c r="C71" s="35"/>
      <c r="D71" s="15"/>
      <c r="E71" s="35"/>
      <c r="F71" s="35"/>
      <c r="G71" s="15"/>
      <c r="H71" s="35"/>
      <c r="I71" s="35"/>
      <c r="J71" s="15"/>
      <c r="K71" s="35"/>
      <c r="L71" s="35"/>
    </row>
    <row r="72" spans="1:12" x14ac:dyDescent="0.25">
      <c r="A72" s="35"/>
      <c r="B72" s="35"/>
      <c r="C72" s="35"/>
      <c r="D72" s="15"/>
      <c r="E72" s="35"/>
      <c r="F72" s="35"/>
      <c r="G72" s="15"/>
      <c r="H72" s="35"/>
      <c r="I72" s="35"/>
      <c r="J72" s="15"/>
      <c r="K72" s="35"/>
      <c r="L72" s="35"/>
    </row>
    <row r="73" spans="1:12" x14ac:dyDescent="0.25">
      <c r="A73" s="35"/>
      <c r="B73" s="35"/>
      <c r="C73" s="35"/>
      <c r="D73" s="15"/>
      <c r="E73" s="35"/>
      <c r="F73" s="35"/>
      <c r="G73" s="15"/>
      <c r="H73" s="35"/>
      <c r="I73" s="35"/>
      <c r="J73" s="15"/>
      <c r="K73" s="35"/>
      <c r="L73" s="35"/>
    </row>
    <row r="74" spans="1:12" x14ac:dyDescent="0.25">
      <c r="A74" s="35"/>
      <c r="B74" s="35"/>
      <c r="C74" s="35"/>
      <c r="D74" s="15"/>
      <c r="E74" s="35"/>
      <c r="F74" s="35"/>
      <c r="G74" s="15"/>
      <c r="H74" s="35"/>
      <c r="I74" s="35"/>
      <c r="J74" s="15"/>
      <c r="K74" s="35"/>
      <c r="L74" s="35"/>
    </row>
    <row r="75" spans="1:12" x14ac:dyDescent="0.25">
      <c r="A75" s="35"/>
      <c r="B75" s="35"/>
      <c r="C75" s="35"/>
      <c r="D75" s="15"/>
      <c r="E75" s="35"/>
      <c r="F75" s="35"/>
      <c r="G75" s="15"/>
      <c r="H75" s="35"/>
      <c r="I75" s="35"/>
      <c r="J75" s="15"/>
      <c r="K75" s="35"/>
      <c r="L75" s="35"/>
    </row>
    <row r="76" spans="1:12" x14ac:dyDescent="0.25">
      <c r="A76" s="35"/>
      <c r="B76" s="35"/>
      <c r="C76" s="35"/>
      <c r="D76" s="15"/>
      <c r="E76" s="35"/>
      <c r="F76" s="35"/>
      <c r="G76" s="15"/>
      <c r="H76" s="35"/>
      <c r="I76" s="35"/>
      <c r="J76" s="15"/>
      <c r="K76" s="35"/>
      <c r="L76" s="35"/>
    </row>
    <row r="77" spans="1:12" x14ac:dyDescent="0.25">
      <c r="A77" s="35"/>
      <c r="B77" s="35"/>
      <c r="C77" s="35"/>
      <c r="D77" s="15"/>
      <c r="E77" s="35"/>
      <c r="F77" s="35"/>
      <c r="G77" s="15"/>
      <c r="H77" s="35"/>
      <c r="I77" s="35"/>
      <c r="J77" s="15"/>
      <c r="K77" s="35"/>
      <c r="L77" s="35"/>
    </row>
    <row r="78" spans="1:12" x14ac:dyDescent="0.25">
      <c r="A78" s="35"/>
      <c r="B78" s="35"/>
      <c r="C78" s="35"/>
      <c r="D78" s="15"/>
      <c r="E78" s="35"/>
      <c r="F78" s="35"/>
      <c r="G78" s="15"/>
      <c r="H78" s="35"/>
      <c r="I78" s="35"/>
      <c r="J78" s="15"/>
      <c r="K78" s="35"/>
      <c r="L78" s="35"/>
    </row>
    <row r="79" spans="1:12" x14ac:dyDescent="0.25">
      <c r="A79" s="35"/>
      <c r="B79" s="35"/>
      <c r="C79" s="35"/>
      <c r="D79" s="15"/>
      <c r="E79" s="35"/>
      <c r="F79" s="35"/>
      <c r="G79" s="15"/>
      <c r="H79" s="35"/>
      <c r="I79" s="35"/>
      <c r="J79" s="15"/>
      <c r="K79" s="35"/>
      <c r="L79" s="35"/>
    </row>
    <row r="80" spans="1:12" x14ac:dyDescent="0.25">
      <c r="A80" s="35"/>
      <c r="B80" s="35"/>
      <c r="C80" s="35"/>
      <c r="D80" s="15"/>
      <c r="E80" s="35"/>
      <c r="F80" s="35"/>
      <c r="G80" s="15"/>
      <c r="H80" s="35"/>
      <c r="I80" s="35"/>
      <c r="J80" s="15"/>
      <c r="K80" s="35"/>
      <c r="L80" s="35"/>
    </row>
    <row r="81" spans="1:12" x14ac:dyDescent="0.25">
      <c r="A81" s="35"/>
      <c r="B81" s="35"/>
      <c r="C81" s="35"/>
      <c r="D81" s="15"/>
      <c r="E81" s="35"/>
      <c r="F81" s="35"/>
      <c r="G81" s="15"/>
      <c r="H81" s="35"/>
      <c r="I81" s="35"/>
      <c r="J81" s="15"/>
      <c r="K81" s="35"/>
      <c r="L81" s="35"/>
    </row>
    <row r="82" spans="1:12" x14ac:dyDescent="0.25">
      <c r="A82" s="35"/>
      <c r="B82" s="35"/>
      <c r="C82" s="35"/>
      <c r="D82" s="15"/>
      <c r="E82" s="35"/>
      <c r="F82" s="35"/>
      <c r="G82" s="15"/>
      <c r="H82" s="35"/>
      <c r="I82" s="35"/>
      <c r="J82" s="15"/>
      <c r="K82" s="35"/>
      <c r="L82" s="35"/>
    </row>
    <row r="83" spans="1:12" x14ac:dyDescent="0.25">
      <c r="A83" s="35"/>
      <c r="B83" s="35"/>
      <c r="C83" s="35"/>
      <c r="D83" s="15"/>
      <c r="E83" s="35"/>
      <c r="F83" s="35"/>
      <c r="G83" s="15"/>
      <c r="H83" s="35"/>
      <c r="I83" s="35"/>
      <c r="J83" s="15"/>
      <c r="K83" s="35"/>
      <c r="L83" s="35"/>
    </row>
    <row r="84" spans="1:12" x14ac:dyDescent="0.25">
      <c r="A84" s="35"/>
      <c r="B84" s="35"/>
      <c r="C84" s="35"/>
      <c r="D84" s="15"/>
      <c r="E84" s="35"/>
      <c r="F84" s="35"/>
      <c r="G84" s="15"/>
      <c r="H84" s="35"/>
      <c r="I84" s="35"/>
      <c r="J84" s="15"/>
      <c r="K84" s="35"/>
      <c r="L84" s="35"/>
    </row>
    <row r="85" spans="1:12" x14ac:dyDescent="0.25">
      <c r="A85" s="35"/>
      <c r="B85" s="35"/>
      <c r="C85" s="35"/>
      <c r="D85" s="15"/>
      <c r="E85" s="35"/>
      <c r="F85" s="35"/>
      <c r="G85" s="15"/>
      <c r="H85" s="35"/>
      <c r="I85" s="35"/>
      <c r="J85" s="15"/>
      <c r="K85" s="35"/>
      <c r="L85" s="35"/>
    </row>
    <row r="86" spans="1:12" x14ac:dyDescent="0.25">
      <c r="A86" s="35"/>
      <c r="B86" s="35"/>
      <c r="C86" s="35"/>
      <c r="D86" s="15"/>
      <c r="E86" s="35"/>
      <c r="F86" s="35"/>
      <c r="G86" s="15"/>
      <c r="H86" s="35"/>
      <c r="I86" s="35"/>
      <c r="J86" s="15"/>
      <c r="K86" s="35"/>
      <c r="L86" s="35"/>
    </row>
    <row r="87" spans="1:12" x14ac:dyDescent="0.25">
      <c r="A87" s="35"/>
      <c r="B87" s="35"/>
      <c r="C87" s="35"/>
      <c r="D87" s="15"/>
      <c r="E87" s="35"/>
      <c r="F87" s="35"/>
      <c r="G87" s="15"/>
      <c r="H87" s="35"/>
      <c r="I87" s="35"/>
      <c r="J87" s="15"/>
      <c r="K87" s="35"/>
      <c r="L87" s="35"/>
    </row>
    <row r="88" spans="1:12" x14ac:dyDescent="0.25">
      <c r="A88" s="35"/>
      <c r="B88" s="35"/>
      <c r="C88" s="35"/>
      <c r="D88" s="15"/>
      <c r="E88" s="35"/>
      <c r="F88" s="35"/>
      <c r="G88" s="15"/>
      <c r="H88" s="35"/>
      <c r="I88" s="35"/>
      <c r="J88" s="15"/>
      <c r="K88" s="35"/>
      <c r="L88" s="35"/>
    </row>
    <row r="89" spans="1:12" x14ac:dyDescent="0.25">
      <c r="A89" s="35"/>
      <c r="B89" s="35"/>
      <c r="C89" s="35"/>
      <c r="D89" s="15"/>
      <c r="E89" s="35"/>
      <c r="F89" s="35"/>
      <c r="G89" s="15"/>
      <c r="H89" s="35"/>
      <c r="I89" s="35"/>
      <c r="J89" s="15"/>
      <c r="K89" s="35"/>
      <c r="L89" s="35"/>
    </row>
    <row r="90" spans="1:12" x14ac:dyDescent="0.25">
      <c r="A90" s="35"/>
      <c r="B90" s="35"/>
      <c r="C90" s="35"/>
      <c r="D90" s="15"/>
      <c r="E90" s="35"/>
      <c r="F90" s="35"/>
      <c r="G90" s="15"/>
      <c r="H90" s="35"/>
      <c r="I90" s="35"/>
      <c r="J90" s="15"/>
      <c r="K90" s="35"/>
      <c r="L90" s="35"/>
    </row>
    <row r="91" spans="1:12" s="18" customFormat="1" ht="20.25" x14ac:dyDescent="0.35">
      <c r="A91" s="12"/>
      <c r="B91" s="12" t="s">
        <v>128</v>
      </c>
      <c r="C91" s="12"/>
      <c r="D91" s="13" t="str">
        <f>$D$13</f>
        <v>Elektro Auto</v>
      </c>
      <c r="E91" s="11"/>
      <c r="F91" s="11"/>
      <c r="G91" s="13"/>
      <c r="H91" s="11"/>
      <c r="I91" s="11"/>
      <c r="J91" s="13" t="str">
        <f>$J$13&amp;" *"</f>
        <v>Verbrenner Auto *</v>
      </c>
      <c r="K91" s="12"/>
      <c r="L91" s="12"/>
    </row>
    <row r="92" spans="1:12" x14ac:dyDescent="0.25">
      <c r="A92" s="9"/>
      <c r="B92" s="9" t="s">
        <v>129</v>
      </c>
      <c r="C92" s="9"/>
      <c r="D92" s="47">
        <v>100</v>
      </c>
      <c r="E92" s="9" t="str">
        <f>$K$10&amp;" CO₂/Wh"</f>
        <v>g CO₂/Wh</v>
      </c>
      <c r="F92" s="9"/>
      <c r="G92" s="8"/>
      <c r="H92" s="9"/>
      <c r="I92" s="9"/>
      <c r="J92" s="8"/>
      <c r="K92" s="9"/>
      <c r="L92" s="9"/>
    </row>
    <row r="93" spans="1:12" x14ac:dyDescent="0.25">
      <c r="A93" s="9"/>
      <c r="B93" s="9" t="s">
        <v>130</v>
      </c>
      <c r="C93" s="9"/>
      <c r="D93" s="8">
        <f>D15*1000*D92</f>
        <v>6700000</v>
      </c>
      <c r="E93" s="9" t="str">
        <f>$K$10&amp;" CO₂"</f>
        <v>g CO₂</v>
      </c>
      <c r="F93" s="9"/>
      <c r="G93" s="8"/>
      <c r="H93" s="9"/>
      <c r="I93" s="9"/>
      <c r="J93" s="8"/>
      <c r="K93" s="9"/>
      <c r="L93" s="9"/>
    </row>
    <row r="94" spans="1:12" x14ac:dyDescent="0.25">
      <c r="A94" s="9"/>
      <c r="B94" s="9"/>
      <c r="C94" s="9"/>
      <c r="D94" s="8"/>
      <c r="E94" s="9"/>
      <c r="F94" s="9"/>
      <c r="G94" s="8"/>
      <c r="H94" s="9"/>
      <c r="I94" s="9"/>
      <c r="J94" s="8"/>
      <c r="K94" s="9"/>
      <c r="L94" s="9"/>
    </row>
    <row r="95" spans="1:12" x14ac:dyDescent="0.25">
      <c r="A95" s="9"/>
      <c r="B95" s="9" t="s">
        <v>131</v>
      </c>
      <c r="C95" s="9"/>
      <c r="D95" s="46">
        <v>450</v>
      </c>
      <c r="E95" s="9" t="str">
        <f>$K$10&amp;" CO₂/kWh"</f>
        <v>g CO₂/kWh</v>
      </c>
      <c r="F95" s="9"/>
      <c r="G95" s="8"/>
      <c r="H95" s="9"/>
      <c r="I95" s="9"/>
      <c r="J95" s="46">
        <v>20</v>
      </c>
      <c r="K95" s="9" t="s">
        <v>18</v>
      </c>
      <c r="L95" s="9"/>
    </row>
    <row r="96" spans="1:12" x14ac:dyDescent="0.25">
      <c r="A96" s="9"/>
      <c r="B96" s="9" t="s">
        <v>132</v>
      </c>
      <c r="C96" s="9"/>
      <c r="D96" s="46">
        <v>0</v>
      </c>
      <c r="E96" s="9" t="str">
        <f>$K$10&amp;" CO₂/kWh"</f>
        <v>g CO₂/kWh</v>
      </c>
      <c r="F96" s="9"/>
      <c r="G96" s="8"/>
      <c r="H96" s="9"/>
      <c r="I96" s="9"/>
      <c r="J96" s="46">
        <v>2640</v>
      </c>
      <c r="K96" s="9" t="str">
        <f>$K$10&amp;"/"&amp;$K$8</f>
        <v>g/l</v>
      </c>
      <c r="L96" s="9"/>
    </row>
    <row r="97" spans="1:12" s="10" customFormat="1" ht="18" x14ac:dyDescent="0.35">
      <c r="A97" s="20"/>
      <c r="B97" s="20" t="s">
        <v>133</v>
      </c>
      <c r="C97" s="20"/>
      <c r="D97" s="21">
        <f>D36*(D95+D96)/100</f>
        <v>69.75</v>
      </c>
      <c r="E97" s="20" t="str">
        <f>$K$10&amp;" CO₂/"&amp;$K$9</f>
        <v>g CO₂/km</v>
      </c>
      <c r="F97" s="20"/>
      <c r="G97" s="21"/>
      <c r="H97" s="20"/>
      <c r="I97" s="20"/>
      <c r="J97" s="21">
        <f>(J36*J96)*(1+J95/100)/100</f>
        <v>158.4</v>
      </c>
      <c r="K97" s="20" t="str">
        <f>$K$10&amp;" CO₂/"&amp;$K$9</f>
        <v>g CO₂/km</v>
      </c>
      <c r="L97" s="20"/>
    </row>
    <row r="98" spans="1:12" x14ac:dyDescent="0.25">
      <c r="A98" s="9"/>
      <c r="B98" s="9"/>
      <c r="C98" s="9"/>
      <c r="D98" s="8"/>
      <c r="E98" s="9"/>
      <c r="F98" s="9"/>
      <c r="G98" s="8"/>
      <c r="H98" s="9"/>
      <c r="I98" s="9"/>
      <c r="J98" s="8"/>
      <c r="K98" s="9"/>
      <c r="L98" s="9"/>
    </row>
    <row r="99" spans="1:12" x14ac:dyDescent="0.25">
      <c r="A99" s="9"/>
      <c r="B99" s="22" t="s">
        <v>124</v>
      </c>
      <c r="C99" s="23">
        <v>0</v>
      </c>
      <c r="D99" s="36">
        <f>D93</f>
        <v>6700000</v>
      </c>
      <c r="E99" s="23" t="str">
        <f t="shared" ref="E99:E109" si="4">$K$10&amp;" CO₂"</f>
        <v>g CO₂</v>
      </c>
      <c r="F99" s="23"/>
      <c r="G99" s="24"/>
      <c r="H99" s="23"/>
      <c r="I99" s="23"/>
      <c r="J99" s="36">
        <v>0</v>
      </c>
      <c r="K99" s="23" t="str">
        <f>$K$10&amp;" CO₂"</f>
        <v>g CO₂</v>
      </c>
      <c r="L99" s="9"/>
    </row>
    <row r="100" spans="1:12" x14ac:dyDescent="0.25">
      <c r="A100" s="9"/>
      <c r="B100" s="25" t="s">
        <v>125</v>
      </c>
      <c r="C100" s="26">
        <v>1</v>
      </c>
      <c r="D100" s="37">
        <f t="shared" ref="D100:D109" si="5">$D$99+$G$34*C100*$D$97</f>
        <v>8792500</v>
      </c>
      <c r="E100" s="26" t="str">
        <f t="shared" si="4"/>
        <v>g CO₂</v>
      </c>
      <c r="F100" s="26"/>
      <c r="G100" s="27"/>
      <c r="H100" s="26"/>
      <c r="I100" s="26"/>
      <c r="J100" s="37">
        <f t="shared" ref="J100:J109" si="6">$J$99+C100*$G$34*$J$97</f>
        <v>4752000</v>
      </c>
      <c r="K100" s="26" t="str">
        <f t="shared" ref="K100:K109" si="7">$K$10&amp;" CO₂"</f>
        <v>g CO₂</v>
      </c>
      <c r="L100" s="9"/>
    </row>
    <row r="101" spans="1:12" x14ac:dyDescent="0.25">
      <c r="A101" s="9"/>
      <c r="B101" s="25" t="s">
        <v>125</v>
      </c>
      <c r="C101" s="26">
        <v>2</v>
      </c>
      <c r="D101" s="37">
        <f t="shared" si="5"/>
        <v>10885000</v>
      </c>
      <c r="E101" s="26" t="str">
        <f t="shared" si="4"/>
        <v>g CO₂</v>
      </c>
      <c r="F101" s="26"/>
      <c r="G101" s="27"/>
      <c r="H101" s="26"/>
      <c r="I101" s="26"/>
      <c r="J101" s="37">
        <f t="shared" si="6"/>
        <v>9504000</v>
      </c>
      <c r="K101" s="26" t="str">
        <f t="shared" si="7"/>
        <v>g CO₂</v>
      </c>
      <c r="L101" s="9"/>
    </row>
    <row r="102" spans="1:12" x14ac:dyDescent="0.25">
      <c r="A102" s="9"/>
      <c r="B102" s="25" t="s">
        <v>125</v>
      </c>
      <c r="C102" s="26">
        <v>3</v>
      </c>
      <c r="D102" s="37">
        <f t="shared" si="5"/>
        <v>12977500</v>
      </c>
      <c r="E102" s="26" t="str">
        <f t="shared" si="4"/>
        <v>g CO₂</v>
      </c>
      <c r="F102" s="26"/>
      <c r="G102" s="27"/>
      <c r="H102" s="26"/>
      <c r="I102" s="26"/>
      <c r="J102" s="37">
        <f t="shared" si="6"/>
        <v>14256000</v>
      </c>
      <c r="K102" s="26" t="str">
        <f t="shared" si="7"/>
        <v>g CO₂</v>
      </c>
      <c r="L102" s="9"/>
    </row>
    <row r="103" spans="1:12" x14ac:dyDescent="0.25">
      <c r="A103" s="9"/>
      <c r="B103" s="25" t="s">
        <v>125</v>
      </c>
      <c r="C103" s="26">
        <v>4</v>
      </c>
      <c r="D103" s="37">
        <f t="shared" si="5"/>
        <v>15070000</v>
      </c>
      <c r="E103" s="26" t="str">
        <f t="shared" si="4"/>
        <v>g CO₂</v>
      </c>
      <c r="F103" s="26"/>
      <c r="G103" s="27"/>
      <c r="H103" s="26"/>
      <c r="I103" s="26"/>
      <c r="J103" s="37">
        <f t="shared" si="6"/>
        <v>19008000</v>
      </c>
      <c r="K103" s="26" t="str">
        <f t="shared" si="7"/>
        <v>g CO₂</v>
      </c>
      <c r="L103" s="9"/>
    </row>
    <row r="104" spans="1:12" x14ac:dyDescent="0.25">
      <c r="A104" s="9"/>
      <c r="B104" s="25" t="s">
        <v>125</v>
      </c>
      <c r="C104" s="26">
        <v>5</v>
      </c>
      <c r="D104" s="37">
        <f t="shared" si="5"/>
        <v>17162500</v>
      </c>
      <c r="E104" s="26" t="str">
        <f t="shared" si="4"/>
        <v>g CO₂</v>
      </c>
      <c r="F104" s="26"/>
      <c r="G104" s="27"/>
      <c r="H104" s="26"/>
      <c r="I104" s="26"/>
      <c r="J104" s="37">
        <f t="shared" si="6"/>
        <v>23760000</v>
      </c>
      <c r="K104" s="26" t="str">
        <f t="shared" si="7"/>
        <v>g CO₂</v>
      </c>
      <c r="L104" s="9"/>
    </row>
    <row r="105" spans="1:12" x14ac:dyDescent="0.25">
      <c r="A105" s="9"/>
      <c r="B105" s="25" t="s">
        <v>125</v>
      </c>
      <c r="C105" s="26">
        <v>6</v>
      </c>
      <c r="D105" s="37">
        <f t="shared" si="5"/>
        <v>19255000</v>
      </c>
      <c r="E105" s="26" t="str">
        <f t="shared" si="4"/>
        <v>g CO₂</v>
      </c>
      <c r="F105" s="26"/>
      <c r="G105" s="27"/>
      <c r="H105" s="26"/>
      <c r="I105" s="26"/>
      <c r="J105" s="37">
        <f t="shared" si="6"/>
        <v>28512000</v>
      </c>
      <c r="K105" s="26" t="str">
        <f t="shared" si="7"/>
        <v>g CO₂</v>
      </c>
      <c r="L105" s="9"/>
    </row>
    <row r="106" spans="1:12" x14ac:dyDescent="0.25">
      <c r="A106" s="9"/>
      <c r="B106" s="25" t="s">
        <v>125</v>
      </c>
      <c r="C106" s="26">
        <v>7</v>
      </c>
      <c r="D106" s="37">
        <f t="shared" si="5"/>
        <v>21347500</v>
      </c>
      <c r="E106" s="26" t="str">
        <f t="shared" si="4"/>
        <v>g CO₂</v>
      </c>
      <c r="F106" s="26"/>
      <c r="G106" s="27"/>
      <c r="H106" s="26"/>
      <c r="I106" s="26"/>
      <c r="J106" s="37">
        <f t="shared" si="6"/>
        <v>33264000</v>
      </c>
      <c r="K106" s="26" t="str">
        <f t="shared" si="7"/>
        <v>g CO₂</v>
      </c>
      <c r="L106" s="9"/>
    </row>
    <row r="107" spans="1:12" x14ac:dyDescent="0.25">
      <c r="A107" s="9"/>
      <c r="B107" s="25" t="s">
        <v>125</v>
      </c>
      <c r="C107" s="26">
        <v>8</v>
      </c>
      <c r="D107" s="37">
        <f t="shared" si="5"/>
        <v>23440000</v>
      </c>
      <c r="E107" s="26" t="str">
        <f t="shared" si="4"/>
        <v>g CO₂</v>
      </c>
      <c r="F107" s="26"/>
      <c r="G107" s="27"/>
      <c r="H107" s="26"/>
      <c r="I107" s="26"/>
      <c r="J107" s="37">
        <f t="shared" si="6"/>
        <v>38016000</v>
      </c>
      <c r="K107" s="26" t="str">
        <f t="shared" si="7"/>
        <v>g CO₂</v>
      </c>
      <c r="L107" s="9"/>
    </row>
    <row r="108" spans="1:12" x14ac:dyDescent="0.25">
      <c r="A108" s="9"/>
      <c r="B108" s="25" t="s">
        <v>125</v>
      </c>
      <c r="C108" s="26">
        <v>9</v>
      </c>
      <c r="D108" s="37">
        <f t="shared" si="5"/>
        <v>25532500</v>
      </c>
      <c r="E108" s="26" t="str">
        <f t="shared" si="4"/>
        <v>g CO₂</v>
      </c>
      <c r="F108" s="26"/>
      <c r="G108" s="27"/>
      <c r="H108" s="26"/>
      <c r="I108" s="26"/>
      <c r="J108" s="37">
        <f t="shared" si="6"/>
        <v>42768000</v>
      </c>
      <c r="K108" s="26" t="str">
        <f t="shared" si="7"/>
        <v>g CO₂</v>
      </c>
      <c r="L108" s="9"/>
    </row>
    <row r="109" spans="1:12" x14ac:dyDescent="0.25">
      <c r="A109" s="9"/>
      <c r="B109" s="25" t="s">
        <v>125</v>
      </c>
      <c r="C109" s="26">
        <v>10</v>
      </c>
      <c r="D109" s="37">
        <f t="shared" si="5"/>
        <v>27625000</v>
      </c>
      <c r="E109" s="26" t="str">
        <f t="shared" si="4"/>
        <v>g CO₂</v>
      </c>
      <c r="F109" s="26"/>
      <c r="G109" s="27"/>
      <c r="H109" s="26"/>
      <c r="I109" s="26"/>
      <c r="J109" s="37">
        <f t="shared" si="6"/>
        <v>47520000</v>
      </c>
      <c r="K109" s="26" t="str">
        <f t="shared" si="7"/>
        <v>g CO₂</v>
      </c>
      <c r="L109" s="9"/>
    </row>
    <row r="110" spans="1:12" s="40" customFormat="1" ht="18.75" customHeight="1" x14ac:dyDescent="0.2">
      <c r="A110" s="38"/>
      <c r="B110" s="38" t="s">
        <v>134</v>
      </c>
      <c r="C110" s="38"/>
      <c r="D110" s="39"/>
      <c r="E110" s="38"/>
      <c r="F110" s="38"/>
      <c r="G110" s="39"/>
      <c r="H110" s="38"/>
      <c r="I110" s="38"/>
      <c r="J110" s="39"/>
      <c r="K110" s="38"/>
      <c r="L110" s="38"/>
    </row>
    <row r="111" spans="1:12" s="14" customFormat="1" ht="20.25" x14ac:dyDescent="0.35">
      <c r="A111" s="31"/>
      <c r="B111" s="32" t="s">
        <v>135</v>
      </c>
      <c r="C111" s="33" t="str">
        <f>$G$21&amp;" Jahren:"</f>
        <v>5 Jahren:</v>
      </c>
      <c r="D111" s="34">
        <f>$J$99+$G$21*$G$34*$J$97-($D$99+$G$34*$G$21*$D$97)</f>
        <v>6597500</v>
      </c>
      <c r="E111" s="16" t="str">
        <f>$K$10&amp;" CO₂"</f>
        <v>g CO₂</v>
      </c>
      <c r="F111" s="31"/>
      <c r="G111" s="33" t="s">
        <v>136</v>
      </c>
      <c r="H111" s="31"/>
      <c r="I111" s="31"/>
      <c r="J111" s="17">
        <f>D93/G34/(J97-D97)</f>
        <v>2.5192705395751083</v>
      </c>
      <c r="K111" s="16" t="s">
        <v>137</v>
      </c>
      <c r="L111" s="31"/>
    </row>
    <row r="112" spans="1:12" x14ac:dyDescent="0.25">
      <c r="A112" s="35"/>
      <c r="B112" s="35"/>
      <c r="C112" s="35"/>
      <c r="D112" s="15"/>
      <c r="E112" s="35"/>
      <c r="F112" s="35"/>
      <c r="G112" s="15"/>
      <c r="H112" s="35"/>
      <c r="I112" s="35"/>
      <c r="J112" s="15"/>
      <c r="K112" s="35"/>
      <c r="L112" s="35"/>
    </row>
    <row r="132" spans="5:5" ht="15.75" x14ac:dyDescent="0.25">
      <c r="E132" s="41" t="s">
        <v>61</v>
      </c>
    </row>
  </sheetData>
  <sheetProtection algorithmName="SHA-512" hashValue="p9/ZfmvAXQhLxSZOqlfFl0FnexMNBwtBPwOG1bXrX15BK5ohHBKlwImWBMQy0FNqpk4WKSYWutt3X8ssTRxfOA==" saltValue="1R63SbhgWPULOR0AH42xkw==" spinCount="100000" sheet="1" objects="1" scenarios="1" selectLockedCells="1"/>
  <protectedRanges>
    <protectedRange sqref="K7:K10 D14:D15 J14 D19:D20 G21 J19:J20 D26:D27 D29:D30 J26 J29:J30 G34 D35:D37 J35:J36 J38:J39 D44:D45 D48:D49 D52 J44:J45 J48:J49 J52 D92 D95:D96 J95:J96 D22 J22" name="Input Deutsch"/>
  </protectedRanges>
  <conditionalFormatting sqref="J99">
    <cfRule type="expression" dxfId="24" priority="17">
      <formula>$J$99&gt;$D$99</formula>
    </cfRule>
    <cfRule type="expression" dxfId="23" priority="23">
      <formula>$J$99&gt;$D$99</formula>
    </cfRule>
    <cfRule type="expression" dxfId="22" priority="25">
      <formula>$J$99&gt;$D$99</formula>
    </cfRule>
  </conditionalFormatting>
  <conditionalFormatting sqref="J99:J109">
    <cfRule type="expression" dxfId="21" priority="24">
      <formula>$J$99:$J$109&gt;$D$99:$D$109</formula>
    </cfRule>
  </conditionalFormatting>
  <conditionalFormatting sqref="J109">
    <cfRule type="expression" dxfId="20" priority="22">
      <formula>$J$109&gt;$D$109</formula>
    </cfRule>
  </conditionalFormatting>
  <conditionalFormatting sqref="J108">
    <cfRule type="expression" dxfId="19" priority="21">
      <formula>$J$108&gt;$D$108</formula>
    </cfRule>
  </conditionalFormatting>
  <conditionalFormatting sqref="J107">
    <cfRule type="expression" dxfId="18" priority="20">
      <formula>$J$107&gt;$D$107</formula>
    </cfRule>
  </conditionalFormatting>
  <conditionalFormatting sqref="J106">
    <cfRule type="expression" dxfId="17" priority="19">
      <formula>$J$106&gt;$D$106</formula>
    </cfRule>
  </conditionalFormatting>
  <conditionalFormatting sqref="J105">
    <cfRule type="expression" dxfId="16" priority="18">
      <formula>$J$105&gt;$D$105</formula>
    </cfRule>
  </conditionalFormatting>
  <conditionalFormatting sqref="J100">
    <cfRule type="expression" dxfId="15" priority="16">
      <formula>$J$100&gt;$D$100</formula>
    </cfRule>
  </conditionalFormatting>
  <conditionalFormatting sqref="J101">
    <cfRule type="expression" dxfId="14" priority="15">
      <formula>$J$101&gt;$D$101</formula>
    </cfRule>
  </conditionalFormatting>
  <conditionalFormatting sqref="J102">
    <cfRule type="expression" dxfId="13" priority="14">
      <formula>$J$102&gt;$D$102</formula>
    </cfRule>
  </conditionalFormatting>
  <conditionalFormatting sqref="J103">
    <cfRule type="expression" dxfId="12" priority="13">
      <formula>$J$103&gt;$D$103</formula>
    </cfRule>
  </conditionalFormatting>
  <conditionalFormatting sqref="J104">
    <cfRule type="expression" dxfId="11" priority="12">
      <formula>$J$104&gt;$D$104</formula>
    </cfRule>
  </conditionalFormatting>
  <conditionalFormatting sqref="D99">
    <cfRule type="expression" dxfId="10" priority="11">
      <formula>$D$99&gt;$J$99</formula>
    </cfRule>
  </conditionalFormatting>
  <conditionalFormatting sqref="D100">
    <cfRule type="expression" dxfId="9" priority="10">
      <formula>$D$100&gt;$J$100</formula>
    </cfRule>
  </conditionalFormatting>
  <conditionalFormatting sqref="D101">
    <cfRule type="expression" dxfId="8" priority="9">
      <formula>$D$101&gt;$J$101</formula>
    </cfRule>
  </conditionalFormatting>
  <conditionalFormatting sqref="D102">
    <cfRule type="expression" dxfId="7" priority="8">
      <formula>$D$102&gt;$J$102</formula>
    </cfRule>
  </conditionalFormatting>
  <conditionalFormatting sqref="D103">
    <cfRule type="expression" dxfId="6" priority="7">
      <formula>$D$103&gt;$J$103</formula>
    </cfRule>
  </conditionalFormatting>
  <conditionalFormatting sqref="D104">
    <cfRule type="expression" dxfId="5" priority="6">
      <formula>$D$104&gt;$J$104</formula>
    </cfRule>
  </conditionalFormatting>
  <conditionalFormatting sqref="D105">
    <cfRule type="expression" dxfId="4" priority="5">
      <formula>$D$105&gt;$J$105</formula>
    </cfRule>
  </conditionalFormatting>
  <conditionalFormatting sqref="D106">
    <cfRule type="expression" dxfId="3" priority="4">
      <formula>$D$106&gt;$J$106</formula>
    </cfRule>
  </conditionalFormatting>
  <conditionalFormatting sqref="D107">
    <cfRule type="expression" dxfId="2" priority="3">
      <formula>$D$107&gt;$J$107</formula>
    </cfRule>
  </conditionalFormatting>
  <conditionalFormatting sqref="D108">
    <cfRule type="expression" dxfId="1" priority="2">
      <formula>$D$108&gt;$J$108</formula>
    </cfRule>
  </conditionalFormatting>
  <conditionalFormatting sqref="D109">
    <cfRule type="expression" dxfId="0" priority="1">
      <formula>$D$109&gt;$J$109</formula>
    </cfRule>
  </conditionalFormatting>
  <hyperlinks>
    <hyperlink ref="L1" location="English!K7" display="English"/>
  </hyperlinks>
  <pageMargins left="0.70866141732283472" right="0.70866141732283472" top="0.59055118110236227" bottom="0.59055118110236227" header="0.31496062992125984" footer="0.31496062992125984"/>
  <pageSetup paperSize="9" scale="65" fitToHeight="0" orientation="portrait" horizontalDpi="4294967293" verticalDpi="4294967293" r:id="rId1"/>
  <rowBreaks count="1" manualBreakCount="1">
    <brk id="5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English</vt:lpstr>
      <vt:lpstr>Deutsch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Müller</dc:creator>
  <cp:lastModifiedBy>Markus Müller</cp:lastModifiedBy>
  <cp:lastPrinted>2018-11-25T16:25:23Z</cp:lastPrinted>
  <dcterms:created xsi:type="dcterms:W3CDTF">2018-11-24T12:13:16Z</dcterms:created>
  <dcterms:modified xsi:type="dcterms:W3CDTF">2019-12-05T10:10:38Z</dcterms:modified>
</cp:coreProperties>
</file>